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Sheet1!$A$1:$I$106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<sst xmlns="http://schemas.openxmlformats.org/spreadsheetml/2006/main" count="262" uniqueCount="83">
  <si>
    <t>附件：</t>
  </si>
  <si>
    <t>三亚市吉阳区教育系统赴高校面向2024年应届毕业生公开招聘编制教师拟聘用人员名单</t>
  </si>
  <si>
    <t>序号</t>
  </si>
  <si>
    <t>招录学校</t>
  </si>
  <si>
    <t>报考岗位</t>
  </si>
  <si>
    <t>岗位代码</t>
  </si>
  <si>
    <t>考生姓名</t>
  </si>
  <si>
    <t>性别</t>
  </si>
  <si>
    <t>出生年月</t>
  </si>
  <si>
    <t>学历</t>
  </si>
  <si>
    <t>毕业院校</t>
  </si>
  <si>
    <t>三亚市第五中学</t>
  </si>
  <si>
    <t>初中语文教师</t>
  </si>
  <si>
    <t>初中数学教师</t>
  </si>
  <si>
    <t>初中英语教师</t>
  </si>
  <si>
    <t>初中物理教师</t>
  </si>
  <si>
    <t>初中历史教师</t>
  </si>
  <si>
    <t>初中地理教师</t>
  </si>
  <si>
    <t>初中体育教师</t>
  </si>
  <si>
    <t>初中道德与法治教师</t>
  </si>
  <si>
    <t>初中心理健康教师</t>
  </si>
  <si>
    <t>吴位宁</t>
  </si>
  <si>
    <t>男</t>
  </si>
  <si>
    <t>2001-03-20</t>
  </si>
  <si>
    <t>本科</t>
  </si>
  <si>
    <t>琼台师范学院</t>
  </si>
  <si>
    <t>李传浪</t>
  </si>
  <si>
    <t>2001-10-5</t>
  </si>
  <si>
    <t>长江大学</t>
  </si>
  <si>
    <t>纪元</t>
  </si>
  <si>
    <t>女</t>
  </si>
  <si>
    <t>2002-10-10</t>
  </si>
  <si>
    <t>江西师范大学</t>
  </si>
  <si>
    <t>周秀清</t>
  </si>
  <si>
    <t>2002-04-24</t>
  </si>
  <si>
    <t>海南师范大学</t>
  </si>
  <si>
    <t>三亚市南海学校(初中部)</t>
  </si>
  <si>
    <t>吴祥司</t>
  </si>
  <si>
    <t>2000-08-05</t>
  </si>
  <si>
    <t>三亚市荔枝沟初级中学</t>
  </si>
  <si>
    <t>初中音乐教师</t>
  </si>
  <si>
    <t>韦国兵</t>
  </si>
  <si>
    <t>1999-06-10</t>
  </si>
  <si>
    <t>海南师范大学附属三亚学校（逸夫中学）</t>
  </si>
  <si>
    <t>初中化学教师</t>
  </si>
  <si>
    <t>初中生物教师</t>
  </si>
  <si>
    <t>海南师范大学附属三亚学校(逸夫中学)</t>
  </si>
  <si>
    <t>蔡静</t>
  </si>
  <si>
    <t>2001-09-17</t>
  </si>
  <si>
    <t>三亚市南海学校（初中部）</t>
  </si>
  <si>
    <t>初中美术教师</t>
  </si>
  <si>
    <t>三亚市南海学校（小学部）</t>
  </si>
  <si>
    <t>小学体育教师</t>
  </si>
  <si>
    <t>三亚市南海学校(小学部)</t>
  </si>
  <si>
    <t>小学英语教师</t>
  </si>
  <si>
    <t>小学科学教师</t>
  </si>
  <si>
    <t>三亚市第二小学</t>
  </si>
  <si>
    <t>小学数学教师</t>
  </si>
  <si>
    <t>小学音乐教师</t>
  </si>
  <si>
    <t>小学美术教师</t>
  </si>
  <si>
    <t>三亚市第五小学</t>
  </si>
  <si>
    <t>小学语文教师</t>
  </si>
  <si>
    <t>小学道德与法治教师</t>
  </si>
  <si>
    <t>三亚市吉阳区月川小学</t>
  </si>
  <si>
    <t>三亚市吉阳区丹州小学</t>
  </si>
  <si>
    <t>三亚市第十小学</t>
  </si>
  <si>
    <t>三亚市吉阳区吉阳小学</t>
  </si>
  <si>
    <t>小学信息技术教师</t>
  </si>
  <si>
    <t>三亚市吉阳区南新小学</t>
  </si>
  <si>
    <t>小学心理健康教师</t>
  </si>
  <si>
    <t>三亚市吉阳区荔枝沟小学</t>
  </si>
  <si>
    <t>三亚市吉阳区红沙小学</t>
  </si>
  <si>
    <t>三亚市吉阳区鹿回头小学</t>
  </si>
  <si>
    <t>三亚市吉阳区落笔小学</t>
  </si>
  <si>
    <t>三亚市吉阳区榆红明德小学</t>
  </si>
  <si>
    <t>三亚市吉阳区海罗小学</t>
  </si>
  <si>
    <t>三亚市吉阳区红郊小学</t>
  </si>
  <si>
    <t>三亚市吉阳区南丁小学</t>
  </si>
  <si>
    <t>柯静蕊</t>
  </si>
  <si>
    <t>2002-05-07</t>
  </si>
  <si>
    <t>华南师范大学</t>
  </si>
  <si>
    <t>曾云兰</t>
  </si>
  <si>
    <t>2001-10-15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</si>
</sst>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8"/>
      <color theme="1"/>
      <name val="宋体"/>
      <charset val="134"/>
    </font>
    <font>
      <sz val="19"/>
      <color theme="1"/>
      <name val="宋体"/>
      <charset val="134"/>
    </font>
    <font>
      <sz val="19"/>
      <name val="宋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abSelected="1" topLeftCell="A98" workbookViewId="0">
      <selection activeCell="L5" sqref="L5"/>
    </sheetView>
  </sheetViews>
  <sheetFormatPr defaultColWidth="9" defaultRowHeight="29" customHeight="1"/>
  <cols>
    <col min="1" max="1" width="6.87962962962963" style="1" customWidth="1"/>
    <col min="2" max="2" width="38.7777777777778" style="1" customWidth="1"/>
    <col min="3" max="3" width="22.1296296296296" style="1" customWidth="1"/>
    <col min="4" max="4" width="11" style="1" customWidth="1"/>
    <col min="5" max="5" width="12.1296296296296" style="4" customWidth="1"/>
    <col min="6" max="6" width="7.22222222222222" style="1" customWidth="1"/>
    <col min="7" max="7" width="14" style="1" customWidth="1"/>
    <col min="8" max="8" width="7.87962962962963" style="1" customWidth="1"/>
    <col min="9" max="9" width="25.4444444444444" style="5" customWidth="1"/>
    <col min="10" max="16377" width="9" style="1"/>
  </cols>
  <sheetData>
    <row r="1" customHeight="1" spans="1:2">
      <c r="A1" s="6" t="s">
        <v>0</v>
      </c>
      <c r="B1" s="6"/>
    </row>
    <row r="2" s="1" customFormat="1" ht="40" customHeight="1" spans="1:9">
      <c r="A2" s="7" t="s">
        <v>1</v>
      </c>
      <c r="B2" s="7"/>
      <c r="C2" s="7"/>
      <c r="D2" s="7"/>
      <c r="E2" s="8"/>
      <c r="F2" s="7"/>
      <c r="G2" s="7"/>
      <c r="H2" s="7"/>
      <c r="I2" s="23"/>
    </row>
    <row r="3" s="2" customFormat="1" ht="2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24" t="s">
        <v>10</v>
      </c>
    </row>
    <row r="4" s="3" customFormat="1" ht="24" customHeight="1" spans="1:9">
      <c r="A4" s="11">
        <v>1</v>
      </c>
      <c r="B4" s="12" t="s">
        <v>11</v>
      </c>
      <c r="C4" s="12" t="s">
        <v>12</v>
      </c>
      <c r="D4" s="13" t="str">
        <f t="shared" ref="D4:D8" si="0">"240101"</f>
        <v>240101</v>
      </c>
      <c r="E4" s="14" t="str">
        <f>"郭学达"</f>
        <v>郭学达</v>
      </c>
      <c r="F4" s="11" t="str">
        <f>"男"</f>
        <v>男</v>
      </c>
      <c r="G4" s="11" t="str">
        <f>"2002-03-18"</f>
        <v>2002-03-18</v>
      </c>
      <c r="H4" s="15" t="str">
        <f t="shared" ref="H4:H18" si="1">"本科"</f>
        <v>本科</v>
      </c>
      <c r="I4" s="15" t="str">
        <f>"赣南师范大学科技学院"</f>
        <v>赣南师范大学科技学院</v>
      </c>
    </row>
    <row r="5" s="3" customFormat="1" ht="24" customHeight="1" spans="1:9">
      <c r="A5" s="11">
        <v>2</v>
      </c>
      <c r="B5" s="12" t="s">
        <v>11</v>
      </c>
      <c r="C5" s="12" t="s">
        <v>12</v>
      </c>
      <c r="D5" s="13" t="str">
        <f t="shared" si="0"/>
        <v>240101</v>
      </c>
      <c r="E5" s="14" t="str">
        <f>"付饶"</f>
        <v>付饶</v>
      </c>
      <c r="F5" s="11" t="str">
        <f t="shared" ref="F5:F14" si="2">"女"</f>
        <v>女</v>
      </c>
      <c r="G5" s="11" t="str">
        <f>"2002-05-01"</f>
        <v>2002-05-01</v>
      </c>
      <c r="H5" s="15" t="str">
        <f t="shared" si="1"/>
        <v>本科</v>
      </c>
      <c r="I5" s="15" t="str">
        <f t="shared" ref="I5:I14" si="3">"海南师范大学"</f>
        <v>海南师范大学</v>
      </c>
    </row>
    <row r="6" s="3" customFormat="1" ht="24" customHeight="1" spans="1:9">
      <c r="A6" s="11">
        <v>3</v>
      </c>
      <c r="B6" s="12" t="s">
        <v>11</v>
      </c>
      <c r="C6" s="12" t="s">
        <v>12</v>
      </c>
      <c r="D6" s="13" t="str">
        <f t="shared" si="0"/>
        <v>240101</v>
      </c>
      <c r="E6" s="14" t="str">
        <f>"周昱杉"</f>
        <v>周昱杉</v>
      </c>
      <c r="F6" s="11" t="str">
        <f t="shared" si="2"/>
        <v>女</v>
      </c>
      <c r="G6" s="11" t="str">
        <f>"2002-09-05"</f>
        <v>2002-09-05</v>
      </c>
      <c r="H6" s="15" t="str">
        <f t="shared" si="1"/>
        <v>本科</v>
      </c>
      <c r="I6" s="15" t="str">
        <f>"长春师范大学"</f>
        <v>长春师范大学</v>
      </c>
    </row>
    <row r="7" s="3" customFormat="1" ht="24" customHeight="1" spans="1:9">
      <c r="A7" s="11">
        <v>4</v>
      </c>
      <c r="B7" s="12" t="s">
        <v>11</v>
      </c>
      <c r="C7" s="12" t="s">
        <v>12</v>
      </c>
      <c r="D7" s="13" t="str">
        <f t="shared" si="0"/>
        <v>240101</v>
      </c>
      <c r="E7" s="14" t="str">
        <f>"李竹波"</f>
        <v>李竹波</v>
      </c>
      <c r="F7" s="11" t="str">
        <f t="shared" si="2"/>
        <v>女</v>
      </c>
      <c r="G7" s="11" t="str">
        <f>"2002-02-01"</f>
        <v>2002-02-01</v>
      </c>
      <c r="H7" s="15" t="str">
        <f t="shared" si="1"/>
        <v>本科</v>
      </c>
      <c r="I7" s="15" t="str">
        <f t="shared" si="3"/>
        <v>海南师范大学</v>
      </c>
    </row>
    <row r="8" s="3" customFormat="1" ht="24" customHeight="1" spans="1:9">
      <c r="A8" s="11">
        <v>5</v>
      </c>
      <c r="B8" s="12" t="s">
        <v>11</v>
      </c>
      <c r="C8" s="12" t="s">
        <v>12</v>
      </c>
      <c r="D8" s="13" t="str">
        <f t="shared" si="0"/>
        <v>240101</v>
      </c>
      <c r="E8" s="14" t="str">
        <f>"谢琴芳"</f>
        <v>谢琴芳</v>
      </c>
      <c r="F8" s="11" t="str">
        <f t="shared" si="2"/>
        <v>女</v>
      </c>
      <c r="G8" s="11" t="str">
        <f>"2002-07-20"</f>
        <v>2002-07-20</v>
      </c>
      <c r="H8" s="15" t="str">
        <f t="shared" si="1"/>
        <v>本科</v>
      </c>
      <c r="I8" s="15" t="str">
        <f t="shared" si="3"/>
        <v>海南师范大学</v>
      </c>
    </row>
    <row r="9" s="3" customFormat="1" ht="24" customHeight="1" spans="1:9">
      <c r="A9" s="11">
        <v>6</v>
      </c>
      <c r="B9" s="12" t="s">
        <v>11</v>
      </c>
      <c r="C9" s="12" t="s">
        <v>13</v>
      </c>
      <c r="D9" s="13" t="str">
        <f>"240102"</f>
        <v>240102</v>
      </c>
      <c r="E9" s="14" t="str">
        <f>"顾颖"</f>
        <v>顾颖</v>
      </c>
      <c r="F9" s="11" t="str">
        <f t="shared" si="2"/>
        <v>女</v>
      </c>
      <c r="G9" s="11" t="str">
        <f>"2002-10-16"</f>
        <v>2002-10-16</v>
      </c>
      <c r="H9" s="15" t="str">
        <f t="shared" si="1"/>
        <v>本科</v>
      </c>
      <c r="I9" s="15" t="str">
        <f t="shared" si="3"/>
        <v>海南师范大学</v>
      </c>
    </row>
    <row r="10" s="3" customFormat="1" ht="24" customHeight="1" spans="1:9">
      <c r="A10" s="11">
        <v>7</v>
      </c>
      <c r="B10" s="12" t="s">
        <v>11</v>
      </c>
      <c r="C10" s="12" t="s">
        <v>13</v>
      </c>
      <c r="D10" s="13" t="str">
        <f>"240102"</f>
        <v>240102</v>
      </c>
      <c r="E10" s="14" t="str">
        <f>"侯辰霏"</f>
        <v>侯辰霏</v>
      </c>
      <c r="F10" s="11" t="str">
        <f t="shared" si="2"/>
        <v>女</v>
      </c>
      <c r="G10" s="11" t="str">
        <f>"2001-12-30"</f>
        <v>2001-12-30</v>
      </c>
      <c r="H10" s="15" t="str">
        <f t="shared" si="1"/>
        <v>本科</v>
      </c>
      <c r="I10" s="15" t="str">
        <f t="shared" si="3"/>
        <v>海南师范大学</v>
      </c>
    </row>
    <row r="11" s="3" customFormat="1" ht="24" customHeight="1" spans="1:9">
      <c r="A11" s="11">
        <v>8</v>
      </c>
      <c r="B11" s="12" t="s">
        <v>11</v>
      </c>
      <c r="C11" s="12" t="s">
        <v>14</v>
      </c>
      <c r="D11" s="13" t="str">
        <f>"240103"</f>
        <v>240103</v>
      </c>
      <c r="E11" s="14" t="str">
        <f>"李宇晴"</f>
        <v>李宇晴</v>
      </c>
      <c r="F11" s="11" t="str">
        <f t="shared" si="2"/>
        <v>女</v>
      </c>
      <c r="G11" s="11" t="str">
        <f>"2002-09-09"</f>
        <v>2002-09-09</v>
      </c>
      <c r="H11" s="15" t="str">
        <f t="shared" si="1"/>
        <v>本科</v>
      </c>
      <c r="I11" s="15" t="str">
        <f t="shared" si="3"/>
        <v>海南师范大学</v>
      </c>
    </row>
    <row r="12" s="3" customFormat="1" ht="24" customHeight="1" spans="1:9">
      <c r="A12" s="11">
        <v>9</v>
      </c>
      <c r="B12" s="12" t="s">
        <v>11</v>
      </c>
      <c r="C12" s="12" t="s">
        <v>15</v>
      </c>
      <c r="D12" s="13" t="str">
        <f>"240104"</f>
        <v>240104</v>
      </c>
      <c r="E12" s="14" t="str">
        <f>"邓丹"</f>
        <v>邓丹</v>
      </c>
      <c r="F12" s="11" t="str">
        <f t="shared" si="2"/>
        <v>女</v>
      </c>
      <c r="G12" s="11" t="str">
        <f>"2001-11-08"</f>
        <v>2001-11-08</v>
      </c>
      <c r="H12" s="15" t="str">
        <f t="shared" si="1"/>
        <v>本科</v>
      </c>
      <c r="I12" s="15" t="str">
        <f t="shared" si="3"/>
        <v>海南师范大学</v>
      </c>
    </row>
    <row r="13" s="3" customFormat="1" ht="24" customHeight="1" spans="1:9">
      <c r="A13" s="11">
        <v>10</v>
      </c>
      <c r="B13" s="12" t="s">
        <v>11</v>
      </c>
      <c r="C13" s="12" t="s">
        <v>16</v>
      </c>
      <c r="D13" s="13" t="str">
        <f>"240105"</f>
        <v>240105</v>
      </c>
      <c r="E13" s="14" t="str">
        <f>"陈乐乐"</f>
        <v>陈乐乐</v>
      </c>
      <c r="F13" s="11" t="str">
        <f t="shared" si="2"/>
        <v>女</v>
      </c>
      <c r="G13" s="11" t="str">
        <f>"2003-01-30"</f>
        <v>2003-01-30</v>
      </c>
      <c r="H13" s="15" t="str">
        <f t="shared" si="1"/>
        <v>本科</v>
      </c>
      <c r="I13" s="15" t="str">
        <f t="shared" si="3"/>
        <v>海南师范大学</v>
      </c>
    </row>
    <row r="14" s="3" customFormat="1" ht="24" customHeight="1" spans="1:9">
      <c r="A14" s="11">
        <v>11</v>
      </c>
      <c r="B14" s="12" t="s">
        <v>11</v>
      </c>
      <c r="C14" s="12" t="s">
        <v>16</v>
      </c>
      <c r="D14" s="13" t="str">
        <f>"240105"</f>
        <v>240105</v>
      </c>
      <c r="E14" s="14" t="str">
        <f>"吴定泽"</f>
        <v>吴定泽</v>
      </c>
      <c r="F14" s="11" t="str">
        <f>"男"</f>
        <v>男</v>
      </c>
      <c r="G14" s="11" t="str">
        <f>"2001-12-18"</f>
        <v>2001-12-18</v>
      </c>
      <c r="H14" s="15" t="str">
        <f t="shared" si="1"/>
        <v>本科</v>
      </c>
      <c r="I14" s="15" t="str">
        <f>"海南热带海洋学院"</f>
        <v>海南热带海洋学院</v>
      </c>
    </row>
    <row r="15" s="3" customFormat="1" ht="24" customHeight="1" spans="1:9">
      <c r="A15" s="11">
        <v>12</v>
      </c>
      <c r="B15" s="12" t="s">
        <v>11</v>
      </c>
      <c r="C15" s="12" t="s">
        <v>17</v>
      </c>
      <c r="D15" s="13" t="str">
        <f>"240106"</f>
        <v>240106</v>
      </c>
      <c r="E15" s="14" t="str">
        <f>"钟骊"</f>
        <v>钟骊</v>
      </c>
      <c r="F15" s="11" t="str">
        <f t="shared" ref="F15:F20" si="4">"女"</f>
        <v>女</v>
      </c>
      <c r="G15" s="11" t="str">
        <f>"2001-11-09"</f>
        <v>2001-11-09</v>
      </c>
      <c r="H15" s="15" t="str">
        <f t="shared" si="1"/>
        <v>本科</v>
      </c>
      <c r="I15" s="15" t="str">
        <f t="shared" ref="I15:I17" si="5">"海南师范大学"</f>
        <v>海南师范大学</v>
      </c>
    </row>
    <row r="16" s="3" customFormat="1" ht="24" customHeight="1" spans="1:9">
      <c r="A16" s="11">
        <v>13</v>
      </c>
      <c r="B16" s="12" t="s">
        <v>11</v>
      </c>
      <c r="C16" s="12" t="s">
        <v>18</v>
      </c>
      <c r="D16" s="13" t="str">
        <f>"240107"</f>
        <v>240107</v>
      </c>
      <c r="E16" s="14" t="str">
        <f>"徐杰"</f>
        <v>徐杰</v>
      </c>
      <c r="F16" s="11" t="str">
        <f>"男"</f>
        <v>男</v>
      </c>
      <c r="G16" s="11" t="str">
        <f>"2001-03-04"</f>
        <v>2001-03-04</v>
      </c>
      <c r="H16" s="15" t="str">
        <f t="shared" si="1"/>
        <v>本科</v>
      </c>
      <c r="I16" s="15" t="str">
        <f t="shared" si="5"/>
        <v>海南师范大学</v>
      </c>
    </row>
    <row r="17" s="3" customFormat="1" ht="24" customHeight="1" spans="1:9">
      <c r="A17" s="11">
        <v>14</v>
      </c>
      <c r="B17" s="12" t="s">
        <v>11</v>
      </c>
      <c r="C17" s="12" t="s">
        <v>19</v>
      </c>
      <c r="D17" s="13" t="str">
        <f t="shared" ref="D17:D19" si="6">"240108"</f>
        <v>240108</v>
      </c>
      <c r="E17" s="14" t="str">
        <f>"张泽茹"</f>
        <v>张泽茹</v>
      </c>
      <c r="F17" s="11" t="str">
        <f t="shared" si="4"/>
        <v>女</v>
      </c>
      <c r="G17" s="11" t="str">
        <f>"2002-07-16"</f>
        <v>2002-07-16</v>
      </c>
      <c r="H17" s="15" t="str">
        <f t="shared" si="1"/>
        <v>本科</v>
      </c>
      <c r="I17" s="15" t="str">
        <f t="shared" si="5"/>
        <v>海南师范大学</v>
      </c>
    </row>
    <row r="18" s="3" customFormat="1" ht="24" customHeight="1" spans="1:9">
      <c r="A18" s="11">
        <v>15</v>
      </c>
      <c r="B18" s="12" t="s">
        <v>11</v>
      </c>
      <c r="C18" s="12" t="s">
        <v>19</v>
      </c>
      <c r="D18" s="13" t="str">
        <f t="shared" si="6"/>
        <v>240108</v>
      </c>
      <c r="E18" s="14" t="str">
        <f>"林萍丽"</f>
        <v>林萍丽</v>
      </c>
      <c r="F18" s="11" t="str">
        <f t="shared" si="4"/>
        <v>女</v>
      </c>
      <c r="G18" s="11" t="str">
        <f>"1999-07-21"</f>
        <v>1999-07-21</v>
      </c>
      <c r="H18" s="15" t="str">
        <f t="shared" ref="H18:H20" si="7">"研究生"</f>
        <v>研究生</v>
      </c>
      <c r="I18" s="15" t="str">
        <f>"云南师范大学"</f>
        <v>云南师范大学</v>
      </c>
    </row>
    <row r="19" s="3" customFormat="1" ht="24" customHeight="1" spans="1:9">
      <c r="A19" s="11">
        <v>16</v>
      </c>
      <c r="B19" s="12" t="s">
        <v>11</v>
      </c>
      <c r="C19" s="12" t="s">
        <v>19</v>
      </c>
      <c r="D19" s="13" t="str">
        <f t="shared" si="6"/>
        <v>240108</v>
      </c>
      <c r="E19" s="14" t="str">
        <f>"杜卡婷"</f>
        <v>杜卡婷</v>
      </c>
      <c r="F19" s="11" t="str">
        <f t="shared" si="4"/>
        <v>女</v>
      </c>
      <c r="G19" s="11" t="str">
        <f>"1999-10-10"</f>
        <v>1999-10-10</v>
      </c>
      <c r="H19" s="15" t="str">
        <f t="shared" si="7"/>
        <v>研究生</v>
      </c>
      <c r="I19" s="15" t="str">
        <f>"海南师范大学"</f>
        <v>海南师范大学</v>
      </c>
    </row>
    <row r="20" s="3" customFormat="1" ht="24" customHeight="1" spans="1:9">
      <c r="A20" s="11">
        <v>17</v>
      </c>
      <c r="B20" s="12" t="s">
        <v>11</v>
      </c>
      <c r="C20" s="12" t="s">
        <v>20</v>
      </c>
      <c r="D20" s="13" t="str">
        <f>"240109"</f>
        <v>240109</v>
      </c>
      <c r="E20" s="14" t="str">
        <f>"陈巧媚"</f>
        <v>陈巧媚</v>
      </c>
      <c r="F20" s="11" t="str">
        <f t="shared" si="4"/>
        <v>女</v>
      </c>
      <c r="G20" s="11" t="str">
        <f>"1997-08-06"</f>
        <v>1997-08-06</v>
      </c>
      <c r="H20" s="15" t="str">
        <f t="shared" si="7"/>
        <v>研究生</v>
      </c>
      <c r="I20" s="15" t="str">
        <f>"辽宁师范大学"</f>
        <v>辽宁师范大学</v>
      </c>
    </row>
    <row r="21" s="3" customFormat="1" ht="24" customHeight="1" spans="1:9">
      <c r="A21" s="11">
        <v>18</v>
      </c>
      <c r="B21" s="12" t="s">
        <v>11</v>
      </c>
      <c r="C21" s="11" t="s">
        <v>18</v>
      </c>
      <c r="D21" s="15">
        <v>240107</v>
      </c>
      <c r="E21" s="14" t="s">
        <v>21</v>
      </c>
      <c r="F21" s="11" t="s">
        <v>22</v>
      </c>
      <c r="G21" s="16" t="s">
        <v>23</v>
      </c>
      <c r="H21" s="15" t="s">
        <v>24</v>
      </c>
      <c r="I21" s="15" t="s">
        <v>25</v>
      </c>
    </row>
    <row r="22" s="3" customFormat="1" ht="24" customHeight="1" spans="1:9">
      <c r="A22" s="11">
        <v>19</v>
      </c>
      <c r="B22" s="12" t="s">
        <v>11</v>
      </c>
      <c r="C22" s="15" t="s">
        <v>18</v>
      </c>
      <c r="D22" s="13">
        <v>240107</v>
      </c>
      <c r="E22" s="14" t="s">
        <v>26</v>
      </c>
      <c r="F22" s="11" t="s">
        <v>22</v>
      </c>
      <c r="G22" s="16" t="s">
        <v>27</v>
      </c>
      <c r="H22" s="11" t="s">
        <v>24</v>
      </c>
      <c r="I22" s="15" t="s">
        <v>28</v>
      </c>
    </row>
    <row r="23" s="3" customFormat="1" ht="24" customHeight="1" spans="1:9">
      <c r="A23" s="11">
        <v>20</v>
      </c>
      <c r="B23" s="12" t="s">
        <v>11</v>
      </c>
      <c r="C23" s="11" t="s">
        <v>17</v>
      </c>
      <c r="D23" s="15">
        <v>240106</v>
      </c>
      <c r="E23" s="14" t="s">
        <v>29</v>
      </c>
      <c r="F23" s="17" t="s">
        <v>30</v>
      </c>
      <c r="G23" s="16" t="s">
        <v>31</v>
      </c>
      <c r="H23" s="15" t="s">
        <v>24</v>
      </c>
      <c r="I23" s="15" t="s">
        <v>32</v>
      </c>
    </row>
    <row r="24" s="3" customFormat="1" ht="24" customHeight="1" spans="1:9">
      <c r="A24" s="11">
        <v>21</v>
      </c>
      <c r="B24" s="12" t="s">
        <v>11</v>
      </c>
      <c r="C24" s="11" t="s">
        <v>14</v>
      </c>
      <c r="D24" s="15">
        <v>240103</v>
      </c>
      <c r="E24" s="14" t="s">
        <v>33</v>
      </c>
      <c r="F24" s="17" t="s">
        <v>22</v>
      </c>
      <c r="G24" s="16" t="s">
        <v>34</v>
      </c>
      <c r="H24" s="15" t="s">
        <v>24</v>
      </c>
      <c r="I24" s="15" t="s">
        <v>35</v>
      </c>
    </row>
    <row r="25" s="3" customFormat="1" ht="24" customHeight="1" spans="1:9">
      <c r="A25" s="11">
        <v>22</v>
      </c>
      <c r="B25" s="12" t="s">
        <v>11</v>
      </c>
      <c r="C25" s="15" t="s">
        <v>13</v>
      </c>
      <c r="D25" s="13" t="str">
        <f>"240102"</f>
        <v>240102</v>
      </c>
      <c r="E25" s="14" t="str">
        <f>"余鑫华"</f>
        <v>余鑫华</v>
      </c>
      <c r="F25" s="11" t="str">
        <f>"女"</f>
        <v>女</v>
      </c>
      <c r="G25" s="11" t="str">
        <f>"2002-02-23"</f>
        <v>2002-02-23</v>
      </c>
      <c r="H25" s="15" t="str">
        <f>"本科"</f>
        <v>本科</v>
      </c>
      <c r="I25" s="15" t="str">
        <f t="shared" ref="I25:I29" si="8">"海南师范大学"</f>
        <v>海南师范大学</v>
      </c>
    </row>
    <row r="26" s="3" customFormat="1" ht="24" customHeight="1" spans="1:9">
      <c r="A26" s="11">
        <v>23</v>
      </c>
      <c r="B26" s="12" t="s">
        <v>36</v>
      </c>
      <c r="C26" s="11" t="s">
        <v>14</v>
      </c>
      <c r="D26" s="15">
        <v>240402</v>
      </c>
      <c r="E26" s="14" t="s">
        <v>37</v>
      </c>
      <c r="F26" s="17" t="s">
        <v>30</v>
      </c>
      <c r="G26" s="16" t="s">
        <v>38</v>
      </c>
      <c r="H26" s="15" t="s">
        <v>24</v>
      </c>
      <c r="I26" s="15" t="s">
        <v>35</v>
      </c>
    </row>
    <row r="27" s="3" customFormat="1" ht="24" customHeight="1" spans="1:9">
      <c r="A27" s="11">
        <v>24</v>
      </c>
      <c r="B27" s="15" t="s">
        <v>39</v>
      </c>
      <c r="C27" s="13" t="s">
        <v>40</v>
      </c>
      <c r="D27" s="13">
        <v>240203</v>
      </c>
      <c r="E27" s="14" t="s">
        <v>41</v>
      </c>
      <c r="F27" s="17" t="s">
        <v>22</v>
      </c>
      <c r="G27" s="16" t="s">
        <v>42</v>
      </c>
      <c r="H27" s="15" t="s">
        <v>24</v>
      </c>
      <c r="I27" s="15" t="s">
        <v>25</v>
      </c>
    </row>
    <row r="28" s="3" customFormat="1" ht="24" customHeight="1" spans="1:9">
      <c r="A28" s="11">
        <v>25</v>
      </c>
      <c r="B28" s="13" t="s">
        <v>39</v>
      </c>
      <c r="C28" s="13" t="s">
        <v>16</v>
      </c>
      <c r="D28" s="13" t="str">
        <f>"240201"</f>
        <v>240201</v>
      </c>
      <c r="E28" s="14" t="str">
        <f>"黄烨坤"</f>
        <v>黄烨坤</v>
      </c>
      <c r="F28" s="11" t="str">
        <f t="shared" ref="F28:F38" si="9">"女"</f>
        <v>女</v>
      </c>
      <c r="G28" s="11" t="str">
        <f>"2002-03-14"</f>
        <v>2002-03-14</v>
      </c>
      <c r="H28" s="15" t="str">
        <f t="shared" ref="H28:H35" si="10">"本科"</f>
        <v>本科</v>
      </c>
      <c r="I28" s="15" t="str">
        <f t="shared" si="8"/>
        <v>海南师范大学</v>
      </c>
    </row>
    <row r="29" s="3" customFormat="1" ht="24" customHeight="1" spans="1:9">
      <c r="A29" s="11">
        <v>26</v>
      </c>
      <c r="B29" s="13" t="s">
        <v>39</v>
      </c>
      <c r="C29" s="13" t="s">
        <v>17</v>
      </c>
      <c r="D29" s="13" t="str">
        <f>"240202"</f>
        <v>240202</v>
      </c>
      <c r="E29" s="14" t="str">
        <f>"李小厦"</f>
        <v>李小厦</v>
      </c>
      <c r="F29" s="11" t="str">
        <f t="shared" si="9"/>
        <v>女</v>
      </c>
      <c r="G29" s="11" t="str">
        <f>"2002-01-06"</f>
        <v>2002-01-06</v>
      </c>
      <c r="H29" s="15" t="str">
        <f t="shared" si="10"/>
        <v>本科</v>
      </c>
      <c r="I29" s="15" t="str">
        <f t="shared" si="8"/>
        <v>海南师范大学</v>
      </c>
    </row>
    <row r="30" s="3" customFormat="1" ht="24" customHeight="1" spans="1:9">
      <c r="A30" s="11">
        <v>27</v>
      </c>
      <c r="B30" s="13" t="s">
        <v>39</v>
      </c>
      <c r="C30" s="13" t="s">
        <v>18</v>
      </c>
      <c r="D30" s="13" t="str">
        <f>"240204"</f>
        <v>240204</v>
      </c>
      <c r="E30" s="14" t="str">
        <f>"吴晶晶"</f>
        <v>吴晶晶</v>
      </c>
      <c r="F30" s="11" t="str">
        <f t="shared" si="9"/>
        <v>女</v>
      </c>
      <c r="G30" s="11" t="str">
        <f>"2002-01-23"</f>
        <v>2002-01-23</v>
      </c>
      <c r="H30" s="15" t="str">
        <f t="shared" si="10"/>
        <v>本科</v>
      </c>
      <c r="I30" s="15" t="str">
        <f>"琼台师范学院"</f>
        <v>琼台师范学院</v>
      </c>
    </row>
    <row r="31" s="3" customFormat="1" ht="24" customHeight="1" spans="1:9">
      <c r="A31" s="11">
        <v>28</v>
      </c>
      <c r="B31" s="18" t="s">
        <v>43</v>
      </c>
      <c r="C31" s="13" t="s">
        <v>12</v>
      </c>
      <c r="D31" s="13" t="str">
        <f t="shared" ref="D31:D33" si="11">"240301"</f>
        <v>240301</v>
      </c>
      <c r="E31" s="14" t="str">
        <f>"吴佳梦"</f>
        <v>吴佳梦</v>
      </c>
      <c r="F31" s="11" t="str">
        <f t="shared" si="9"/>
        <v>女</v>
      </c>
      <c r="G31" s="11" t="str">
        <f>"2002-05-15"</f>
        <v>2002-05-15</v>
      </c>
      <c r="H31" s="15" t="str">
        <f t="shared" si="10"/>
        <v>本科</v>
      </c>
      <c r="I31" s="15" t="str">
        <f>"海南师范大学"</f>
        <v>海南师范大学</v>
      </c>
    </row>
    <row r="32" s="3" customFormat="1" ht="24" customHeight="1" spans="1:9">
      <c r="A32" s="11">
        <v>29</v>
      </c>
      <c r="B32" s="18" t="s">
        <v>43</v>
      </c>
      <c r="C32" s="13" t="s">
        <v>12</v>
      </c>
      <c r="D32" s="13" t="str">
        <f t="shared" si="11"/>
        <v>240301</v>
      </c>
      <c r="E32" s="14" t="str">
        <f>"闫锦彤 "</f>
        <v>闫锦彤 </v>
      </c>
      <c r="F32" s="11" t="str">
        <f t="shared" si="9"/>
        <v>女</v>
      </c>
      <c r="G32" s="11" t="str">
        <f>"2001-10-14"</f>
        <v>2001-10-14</v>
      </c>
      <c r="H32" s="15" t="str">
        <f t="shared" si="10"/>
        <v>本科</v>
      </c>
      <c r="I32" s="15" t="str">
        <f>"海南热带海洋学院"</f>
        <v>海南热带海洋学院</v>
      </c>
    </row>
    <row r="33" s="3" customFormat="1" ht="24" customHeight="1" spans="1:9">
      <c r="A33" s="11">
        <v>30</v>
      </c>
      <c r="B33" s="13" t="s">
        <v>43</v>
      </c>
      <c r="C33" s="13" t="s">
        <v>12</v>
      </c>
      <c r="D33" s="13" t="str">
        <f t="shared" si="11"/>
        <v>240301</v>
      </c>
      <c r="E33" s="14" t="str">
        <f>"庄慧俏"</f>
        <v>庄慧俏</v>
      </c>
      <c r="F33" s="11" t="str">
        <f t="shared" si="9"/>
        <v>女</v>
      </c>
      <c r="G33" s="11" t="str">
        <f>"2001-06-15"</f>
        <v>2001-06-15</v>
      </c>
      <c r="H33" s="15" t="str">
        <f t="shared" si="10"/>
        <v>本科</v>
      </c>
      <c r="I33" s="15" t="str">
        <f>"聊城大学"</f>
        <v>聊城大学</v>
      </c>
    </row>
    <row r="34" s="3" customFormat="1" ht="24" customHeight="1" spans="1:9">
      <c r="A34" s="11">
        <v>31</v>
      </c>
      <c r="B34" s="13" t="s">
        <v>43</v>
      </c>
      <c r="C34" s="13" t="s">
        <v>13</v>
      </c>
      <c r="D34" s="13" t="str">
        <f>"240302"</f>
        <v>240302</v>
      </c>
      <c r="E34" s="14" t="str">
        <f>"符海琴"</f>
        <v>符海琴</v>
      </c>
      <c r="F34" s="11" t="str">
        <f t="shared" si="9"/>
        <v>女</v>
      </c>
      <c r="G34" s="11" t="str">
        <f>"2001-07-01"</f>
        <v>2001-07-01</v>
      </c>
      <c r="H34" s="15" t="str">
        <f t="shared" si="10"/>
        <v>本科</v>
      </c>
      <c r="I34" s="15" t="str">
        <f>"海南师范大学"</f>
        <v>海南师范大学</v>
      </c>
    </row>
    <row r="35" s="3" customFormat="1" ht="24" customHeight="1" spans="1:9">
      <c r="A35" s="11">
        <v>32</v>
      </c>
      <c r="B35" s="13" t="s">
        <v>43</v>
      </c>
      <c r="C35" s="13" t="s">
        <v>13</v>
      </c>
      <c r="D35" s="13" t="str">
        <f>"240302"</f>
        <v>240302</v>
      </c>
      <c r="E35" s="14" t="str">
        <f>"李若盈"</f>
        <v>李若盈</v>
      </c>
      <c r="F35" s="11" t="str">
        <f t="shared" si="9"/>
        <v>女</v>
      </c>
      <c r="G35" s="11" t="str">
        <f>"2002-05-04"</f>
        <v>2002-05-04</v>
      </c>
      <c r="H35" s="15" t="str">
        <f t="shared" si="10"/>
        <v>本科</v>
      </c>
      <c r="I35" s="15" t="str">
        <f t="shared" ref="I35:I41" si="12">"海南师范大学"</f>
        <v>海南师范大学</v>
      </c>
    </row>
    <row r="36" s="3" customFormat="1" ht="24" customHeight="1" spans="1:9">
      <c r="A36" s="11">
        <v>33</v>
      </c>
      <c r="B36" s="13" t="s">
        <v>43</v>
      </c>
      <c r="C36" s="13" t="s">
        <v>14</v>
      </c>
      <c r="D36" s="13" t="str">
        <f t="shared" ref="D36:D38" si="13">"240303"</f>
        <v>240303</v>
      </c>
      <c r="E36" s="14" t="str">
        <f>"李嘉敏"</f>
        <v>李嘉敏</v>
      </c>
      <c r="F36" s="11" t="str">
        <f t="shared" si="9"/>
        <v>女</v>
      </c>
      <c r="G36" s="11" t="str">
        <f>"1998-04-30"</f>
        <v>1998-04-30</v>
      </c>
      <c r="H36" s="15" t="str">
        <f>"研究生"</f>
        <v>研究生</v>
      </c>
      <c r="I36" s="15" t="str">
        <f t="shared" si="12"/>
        <v>海南师范大学</v>
      </c>
    </row>
    <row r="37" s="3" customFormat="1" ht="24" customHeight="1" spans="1:9">
      <c r="A37" s="11">
        <v>34</v>
      </c>
      <c r="B37" s="13" t="s">
        <v>43</v>
      </c>
      <c r="C37" s="13" t="s">
        <v>14</v>
      </c>
      <c r="D37" s="13" t="str">
        <f t="shared" si="13"/>
        <v>240303</v>
      </c>
      <c r="E37" s="14" t="str">
        <f>"符丰洁"</f>
        <v>符丰洁</v>
      </c>
      <c r="F37" s="11" t="str">
        <f t="shared" si="9"/>
        <v>女</v>
      </c>
      <c r="G37" s="11" t="str">
        <f>"2002-08-18"</f>
        <v>2002-08-18</v>
      </c>
      <c r="H37" s="15" t="str">
        <f t="shared" ref="H37:H42" si="14">"本科"</f>
        <v>本科</v>
      </c>
      <c r="I37" s="15" t="str">
        <f t="shared" si="12"/>
        <v>海南师范大学</v>
      </c>
    </row>
    <row r="38" s="3" customFormat="1" ht="24" customHeight="1" spans="1:9">
      <c r="A38" s="11">
        <v>35</v>
      </c>
      <c r="B38" s="13" t="s">
        <v>43</v>
      </c>
      <c r="C38" s="13" t="s">
        <v>14</v>
      </c>
      <c r="D38" s="13" t="str">
        <f t="shared" si="13"/>
        <v>240303</v>
      </c>
      <c r="E38" s="14" t="str">
        <f>"唐华蓉"</f>
        <v>唐华蓉</v>
      </c>
      <c r="F38" s="11" t="str">
        <f t="shared" si="9"/>
        <v>女</v>
      </c>
      <c r="G38" s="11" t="str">
        <f>"2002-08-18"</f>
        <v>2002-08-18</v>
      </c>
      <c r="H38" s="15" t="str">
        <f t="shared" si="14"/>
        <v>本科</v>
      </c>
      <c r="I38" s="15" t="str">
        <f t="shared" si="12"/>
        <v>海南师范大学</v>
      </c>
    </row>
    <row r="39" s="3" customFormat="1" ht="24" customHeight="1" spans="1:9">
      <c r="A39" s="11">
        <v>36</v>
      </c>
      <c r="B39" s="13" t="s">
        <v>43</v>
      </c>
      <c r="C39" s="13" t="s">
        <v>44</v>
      </c>
      <c r="D39" s="13" t="str">
        <f>"240305"</f>
        <v>240305</v>
      </c>
      <c r="E39" s="14" t="str">
        <f>"黎金亮"</f>
        <v>黎金亮</v>
      </c>
      <c r="F39" s="11" t="str">
        <f>"男"</f>
        <v>男</v>
      </c>
      <c r="G39" s="11" t="str">
        <f>"2004-10-20"</f>
        <v>2004-10-20</v>
      </c>
      <c r="H39" s="15" t="str">
        <f t="shared" si="14"/>
        <v>本科</v>
      </c>
      <c r="I39" s="15" t="str">
        <f t="shared" si="12"/>
        <v>海南师范大学</v>
      </c>
    </row>
    <row r="40" s="3" customFormat="1" ht="24" customHeight="1" spans="1:9">
      <c r="A40" s="11">
        <v>37</v>
      </c>
      <c r="B40" s="13" t="s">
        <v>43</v>
      </c>
      <c r="C40" s="13" t="s">
        <v>45</v>
      </c>
      <c r="D40" s="13" t="str">
        <f>"240306"</f>
        <v>240306</v>
      </c>
      <c r="E40" s="14" t="str">
        <f>"林良萍"</f>
        <v>林良萍</v>
      </c>
      <c r="F40" s="11" t="str">
        <f t="shared" ref="F40:F42" si="15">"女"</f>
        <v>女</v>
      </c>
      <c r="G40" s="11" t="str">
        <f>"2001-12-07"</f>
        <v>2001-12-07</v>
      </c>
      <c r="H40" s="15" t="str">
        <f t="shared" si="14"/>
        <v>本科</v>
      </c>
      <c r="I40" s="15" t="str">
        <f t="shared" si="12"/>
        <v>海南师范大学</v>
      </c>
    </row>
    <row r="41" s="3" customFormat="1" ht="24" customHeight="1" spans="1:9">
      <c r="A41" s="11">
        <v>38</v>
      </c>
      <c r="B41" s="13" t="s">
        <v>43</v>
      </c>
      <c r="C41" s="13" t="s">
        <v>17</v>
      </c>
      <c r="D41" s="13" t="str">
        <f>"240307"</f>
        <v>240307</v>
      </c>
      <c r="E41" s="14" t="str">
        <f>"崔嫒"</f>
        <v>崔嫒</v>
      </c>
      <c r="F41" s="11" t="str">
        <f t="shared" si="15"/>
        <v>女</v>
      </c>
      <c r="G41" s="11" t="str">
        <f>"2002-05-17"</f>
        <v>2002-05-17</v>
      </c>
      <c r="H41" s="15" t="str">
        <f t="shared" si="14"/>
        <v>本科</v>
      </c>
      <c r="I41" s="15" t="str">
        <f t="shared" si="12"/>
        <v>海南师范大学</v>
      </c>
    </row>
    <row r="42" s="3" customFormat="1" ht="24" customHeight="1" spans="1:9">
      <c r="A42" s="11">
        <v>39</v>
      </c>
      <c r="B42" s="13" t="s">
        <v>43</v>
      </c>
      <c r="C42" s="13" t="s">
        <v>13</v>
      </c>
      <c r="D42" s="13" t="str">
        <f>"240302"</f>
        <v>240302</v>
      </c>
      <c r="E42" s="14" t="str">
        <f>"张希"</f>
        <v>张希</v>
      </c>
      <c r="F42" s="11" t="str">
        <f t="shared" si="15"/>
        <v>女</v>
      </c>
      <c r="G42" s="11" t="str">
        <f>"2000-06-08"</f>
        <v>2000-06-08</v>
      </c>
      <c r="H42" s="15" t="str">
        <f t="shared" si="14"/>
        <v>本科</v>
      </c>
      <c r="I42" s="15" t="str">
        <f>"琼台师范学院"</f>
        <v>琼台师范学院</v>
      </c>
    </row>
    <row r="43" s="3" customFormat="1" ht="24" customHeight="1" spans="1:9">
      <c r="A43" s="11">
        <v>40</v>
      </c>
      <c r="B43" s="19" t="s">
        <v>46</v>
      </c>
      <c r="C43" s="15" t="s">
        <v>15</v>
      </c>
      <c r="D43" s="15">
        <v>240304</v>
      </c>
      <c r="E43" s="20" t="s">
        <v>47</v>
      </c>
      <c r="F43" s="19" t="s">
        <v>30</v>
      </c>
      <c r="G43" s="21" t="s">
        <v>48</v>
      </c>
      <c r="H43" s="15" t="s">
        <v>24</v>
      </c>
      <c r="I43" s="15" t="s">
        <v>35</v>
      </c>
    </row>
    <row r="44" s="3" customFormat="1" ht="24" customHeight="1" spans="1:9">
      <c r="A44" s="11">
        <v>41</v>
      </c>
      <c r="B44" s="19" t="s">
        <v>46</v>
      </c>
      <c r="C44" s="13" t="s">
        <v>12</v>
      </c>
      <c r="D44" s="13" t="str">
        <f>"240301"</f>
        <v>240301</v>
      </c>
      <c r="E44" s="14" t="str">
        <f>"莫溶溶"</f>
        <v>莫溶溶</v>
      </c>
      <c r="F44" s="11" t="str">
        <f>"女"</f>
        <v>女</v>
      </c>
      <c r="G44" s="11" t="str">
        <f>"1999-07-03"</f>
        <v>1999-07-03</v>
      </c>
      <c r="H44" s="15" t="str">
        <f>"研究生"</f>
        <v>研究生</v>
      </c>
      <c r="I44" s="15" t="str">
        <f>"海南师范大学"</f>
        <v>海南师范大学</v>
      </c>
    </row>
    <row r="45" s="3" customFormat="1" ht="24" customHeight="1" spans="1:9">
      <c r="A45" s="11">
        <v>42</v>
      </c>
      <c r="B45" s="13" t="s">
        <v>49</v>
      </c>
      <c r="C45" s="13" t="s">
        <v>13</v>
      </c>
      <c r="D45" s="13" t="str">
        <f t="shared" ref="D45:D47" si="16">"240401"</f>
        <v>240401</v>
      </c>
      <c r="E45" s="14" t="str">
        <f>"周舟"</f>
        <v>周舟</v>
      </c>
      <c r="F45" s="11" t="str">
        <f t="shared" ref="F44:F51" si="17">"女"</f>
        <v>女</v>
      </c>
      <c r="G45" s="11" t="str">
        <f>"2002-02-21"</f>
        <v>2002-02-21</v>
      </c>
      <c r="H45" s="15" t="str">
        <f t="shared" ref="H45:H49" si="18">"本科"</f>
        <v>本科</v>
      </c>
      <c r="I45" s="15" t="str">
        <f>"海南师范大学"</f>
        <v>海南师范大学</v>
      </c>
    </row>
    <row r="46" s="3" customFormat="1" ht="24" customHeight="1" spans="1:9">
      <c r="A46" s="11">
        <v>43</v>
      </c>
      <c r="B46" s="13" t="s">
        <v>49</v>
      </c>
      <c r="C46" s="13" t="s">
        <v>13</v>
      </c>
      <c r="D46" s="13" t="str">
        <f t="shared" si="16"/>
        <v>240401</v>
      </c>
      <c r="E46" s="14" t="str">
        <f>"孙有丹"</f>
        <v>孙有丹</v>
      </c>
      <c r="F46" s="11" t="str">
        <f t="shared" si="17"/>
        <v>女</v>
      </c>
      <c r="G46" s="11" t="str">
        <f>"2002-11-05"</f>
        <v>2002-11-05</v>
      </c>
      <c r="H46" s="15" t="str">
        <f t="shared" si="18"/>
        <v>本科</v>
      </c>
      <c r="I46" s="15" t="str">
        <f>"青海师范大学"</f>
        <v>青海师范大学</v>
      </c>
    </row>
    <row r="47" s="3" customFormat="1" ht="24" customHeight="1" spans="1:9">
      <c r="A47" s="11">
        <v>44</v>
      </c>
      <c r="B47" s="13" t="s">
        <v>49</v>
      </c>
      <c r="C47" s="13" t="s">
        <v>13</v>
      </c>
      <c r="D47" s="13" t="str">
        <f t="shared" si="16"/>
        <v>240401</v>
      </c>
      <c r="E47" s="14" t="str">
        <f>"张洁"</f>
        <v>张洁</v>
      </c>
      <c r="F47" s="11" t="str">
        <f t="shared" si="17"/>
        <v>女</v>
      </c>
      <c r="G47" s="11" t="str">
        <f>"2001-04-20"</f>
        <v>2001-04-20</v>
      </c>
      <c r="H47" s="15" t="str">
        <f t="shared" si="18"/>
        <v>本科</v>
      </c>
      <c r="I47" s="15" t="str">
        <f>"云南师范大学"</f>
        <v>云南师范大学</v>
      </c>
    </row>
    <row r="48" s="3" customFormat="1" ht="24" customHeight="1" spans="1:9">
      <c r="A48" s="11">
        <v>45</v>
      </c>
      <c r="B48" s="12" t="s">
        <v>49</v>
      </c>
      <c r="C48" s="13" t="s">
        <v>44</v>
      </c>
      <c r="D48" s="13" t="str">
        <f>"240403"</f>
        <v>240403</v>
      </c>
      <c r="E48" s="14" t="str">
        <f>"孙玉洁"</f>
        <v>孙玉洁</v>
      </c>
      <c r="F48" s="11" t="str">
        <f t="shared" si="17"/>
        <v>女</v>
      </c>
      <c r="G48" s="11" t="str">
        <f>"2002-11-28"</f>
        <v>2002-11-28</v>
      </c>
      <c r="H48" s="15" t="str">
        <f t="shared" si="18"/>
        <v>本科</v>
      </c>
      <c r="I48" s="15" t="str">
        <f>"广西科技师范学院"</f>
        <v>广西科技师范学院</v>
      </c>
    </row>
    <row r="49" s="3" customFormat="1" ht="24" customHeight="1" spans="1:9">
      <c r="A49" s="11">
        <v>46</v>
      </c>
      <c r="B49" s="12" t="s">
        <v>49</v>
      </c>
      <c r="C49" s="13" t="s">
        <v>50</v>
      </c>
      <c r="D49" s="13" t="str">
        <f>"240404"</f>
        <v>240404</v>
      </c>
      <c r="E49" s="14" t="str">
        <f>"黄宇婷"</f>
        <v>黄宇婷</v>
      </c>
      <c r="F49" s="11" t="str">
        <f t="shared" si="17"/>
        <v>女</v>
      </c>
      <c r="G49" s="11" t="str">
        <f>"2002-03-20"</f>
        <v>2002-03-20</v>
      </c>
      <c r="H49" s="15" t="str">
        <f t="shared" si="18"/>
        <v>本科</v>
      </c>
      <c r="I49" s="15" t="str">
        <f>"湖南第一师范学院"</f>
        <v>湖南第一师范学院</v>
      </c>
    </row>
    <row r="50" s="3" customFormat="1" ht="24" customHeight="1" spans="1:9">
      <c r="A50" s="11">
        <v>47</v>
      </c>
      <c r="B50" s="12" t="s">
        <v>49</v>
      </c>
      <c r="C50" s="13" t="s">
        <v>20</v>
      </c>
      <c r="D50" s="13" t="str">
        <f>"240405"</f>
        <v>240405</v>
      </c>
      <c r="E50" s="14" t="str">
        <f>"樊伟玲"</f>
        <v>樊伟玲</v>
      </c>
      <c r="F50" s="11" t="str">
        <f t="shared" si="17"/>
        <v>女</v>
      </c>
      <c r="G50" s="11" t="str">
        <f>"1998-01-26"</f>
        <v>1998-01-26</v>
      </c>
      <c r="H50" s="15" t="str">
        <f>"研究生"</f>
        <v>研究生</v>
      </c>
      <c r="I50" s="15" t="str">
        <f>"海南师范大学"</f>
        <v>海南师范大学</v>
      </c>
    </row>
    <row r="51" s="3" customFormat="1" ht="24" customHeight="1" spans="1:9">
      <c r="A51" s="11">
        <v>48</v>
      </c>
      <c r="B51" s="12" t="s">
        <v>51</v>
      </c>
      <c r="C51" s="13" t="s">
        <v>52</v>
      </c>
      <c r="D51" s="13" t="str">
        <f>"240407"</f>
        <v>240407</v>
      </c>
      <c r="E51" s="14" t="str">
        <f>"万伟志"</f>
        <v>万伟志</v>
      </c>
      <c r="F51" s="11" t="str">
        <f t="shared" ref="F51:F56" si="19">"男"</f>
        <v>男</v>
      </c>
      <c r="G51" s="11" t="str">
        <f>"2001-06-22"</f>
        <v>2001-06-22</v>
      </c>
      <c r="H51" s="15" t="str">
        <f t="shared" ref="H51:H53" si="20">"本科"</f>
        <v>本科</v>
      </c>
      <c r="I51" s="15" t="str">
        <f>"海南热带海洋学院"</f>
        <v>海南热带海洋学院</v>
      </c>
    </row>
    <row r="52" s="3" customFormat="1" ht="24" customHeight="1" spans="1:9">
      <c r="A52" s="11">
        <v>49</v>
      </c>
      <c r="B52" s="12" t="s">
        <v>51</v>
      </c>
      <c r="C52" s="13" t="s">
        <v>52</v>
      </c>
      <c r="D52" s="13" t="str">
        <f>"240407"</f>
        <v>240407</v>
      </c>
      <c r="E52" s="14" t="str">
        <f>"王文勋"</f>
        <v>王文勋</v>
      </c>
      <c r="F52" s="11" t="str">
        <f t="shared" si="19"/>
        <v>男</v>
      </c>
      <c r="G52" s="11" t="str">
        <f>"2002-08-30"</f>
        <v>2002-08-30</v>
      </c>
      <c r="H52" s="15" t="str">
        <f t="shared" si="20"/>
        <v>本科</v>
      </c>
      <c r="I52" s="15" t="str">
        <f>"海南热带海洋学院"</f>
        <v>海南热带海洋学院</v>
      </c>
    </row>
    <row r="53" s="3" customFormat="1" ht="24" customHeight="1" spans="1:9">
      <c r="A53" s="11">
        <v>50</v>
      </c>
      <c r="B53" s="15" t="s">
        <v>53</v>
      </c>
      <c r="C53" s="15" t="s">
        <v>54</v>
      </c>
      <c r="D53" s="13" t="str">
        <f>"240406"</f>
        <v>240406</v>
      </c>
      <c r="E53" s="14" t="str">
        <f>"秦有晶"</f>
        <v>秦有晶</v>
      </c>
      <c r="F53" s="11" t="str">
        <f>"女"</f>
        <v>女</v>
      </c>
      <c r="G53" s="11" t="str">
        <f>"2002-03-22"</f>
        <v>2002-03-22</v>
      </c>
      <c r="H53" s="15" t="str">
        <f t="shared" si="20"/>
        <v>本科</v>
      </c>
      <c r="I53" s="15" t="str">
        <f t="shared" ref="I53:I55" si="21">"琼台师范学院"</f>
        <v>琼台师范学院</v>
      </c>
    </row>
    <row r="54" s="3" customFormat="1" ht="24" customHeight="1" spans="1:9">
      <c r="A54" s="11">
        <v>51</v>
      </c>
      <c r="B54" s="15" t="s">
        <v>53</v>
      </c>
      <c r="C54" s="15" t="s">
        <v>55</v>
      </c>
      <c r="D54" s="13" t="str">
        <f>"240409"</f>
        <v>240409</v>
      </c>
      <c r="E54" s="14" t="str">
        <f>"奚晗"</f>
        <v>奚晗</v>
      </c>
      <c r="F54" s="11" t="str">
        <f t="shared" ref="F54:F62" si="22">"女"</f>
        <v>女</v>
      </c>
      <c r="G54" s="11" t="str">
        <f>"2002-11-19"</f>
        <v>2002-11-19</v>
      </c>
      <c r="H54" s="15" t="str">
        <f t="shared" ref="H51:H83" si="23">"本科"</f>
        <v>本科</v>
      </c>
      <c r="I54" s="15" t="str">
        <f t="shared" si="21"/>
        <v>琼台师范学院</v>
      </c>
    </row>
    <row r="55" s="3" customFormat="1" ht="24" customHeight="1" spans="1:9">
      <c r="A55" s="11">
        <v>52</v>
      </c>
      <c r="B55" s="13" t="s">
        <v>56</v>
      </c>
      <c r="C55" s="13" t="s">
        <v>57</v>
      </c>
      <c r="D55" s="13" t="str">
        <f>"240501"</f>
        <v>240501</v>
      </c>
      <c r="E55" s="14" t="str">
        <f>"刘依华"</f>
        <v>刘依华</v>
      </c>
      <c r="F55" s="11" t="str">
        <f t="shared" si="22"/>
        <v>女</v>
      </c>
      <c r="G55" s="11" t="str">
        <f>"2002-08-28"</f>
        <v>2002-08-28</v>
      </c>
      <c r="H55" s="15" t="str">
        <f t="shared" si="23"/>
        <v>本科</v>
      </c>
      <c r="I55" s="15" t="str">
        <f t="shared" si="21"/>
        <v>琼台师范学院</v>
      </c>
    </row>
    <row r="56" s="3" customFormat="1" ht="24" customHeight="1" spans="1:9">
      <c r="A56" s="11">
        <v>53</v>
      </c>
      <c r="B56" s="12" t="s">
        <v>56</v>
      </c>
      <c r="C56" s="13" t="s">
        <v>58</v>
      </c>
      <c r="D56" s="13" t="str">
        <f>"240502"</f>
        <v>240502</v>
      </c>
      <c r="E56" s="14" t="str">
        <f>"安文裕"</f>
        <v>安文裕</v>
      </c>
      <c r="F56" s="11" t="str">
        <f t="shared" si="19"/>
        <v>男</v>
      </c>
      <c r="G56" s="11" t="str">
        <f>"2001-08-13"</f>
        <v>2001-08-13</v>
      </c>
      <c r="H56" s="15" t="str">
        <f t="shared" si="23"/>
        <v>本科</v>
      </c>
      <c r="I56" s="15" t="str">
        <f>"广东技术师范大学"</f>
        <v>广东技术师范大学</v>
      </c>
    </row>
    <row r="57" s="3" customFormat="1" ht="24" customHeight="1" spans="1:9">
      <c r="A57" s="11">
        <v>54</v>
      </c>
      <c r="B57" s="12" t="s">
        <v>56</v>
      </c>
      <c r="C57" s="13" t="s">
        <v>59</v>
      </c>
      <c r="D57" s="13" t="str">
        <f>"240503"</f>
        <v>240503</v>
      </c>
      <c r="E57" s="14" t="str">
        <f>"贾若怡"</f>
        <v>贾若怡</v>
      </c>
      <c r="F57" s="11" t="str">
        <f t="shared" si="22"/>
        <v>女</v>
      </c>
      <c r="G57" s="11" t="str">
        <f>"2002-01-16"</f>
        <v>2002-01-16</v>
      </c>
      <c r="H57" s="15" t="str">
        <f t="shared" si="23"/>
        <v>本科</v>
      </c>
      <c r="I57" s="15" t="str">
        <f>"湖南师范大学"</f>
        <v>湖南师范大学</v>
      </c>
    </row>
    <row r="58" s="3" customFormat="1" ht="24" customHeight="1" spans="1:9">
      <c r="A58" s="11">
        <v>55</v>
      </c>
      <c r="B58" s="12" t="s">
        <v>60</v>
      </c>
      <c r="C58" s="13" t="s">
        <v>61</v>
      </c>
      <c r="D58" s="13" t="str">
        <f t="shared" ref="D58:D60" si="24">"240601"</f>
        <v>240601</v>
      </c>
      <c r="E58" s="14" t="str">
        <f>"王怡怡"</f>
        <v>王怡怡</v>
      </c>
      <c r="F58" s="11" t="str">
        <f t="shared" si="22"/>
        <v>女</v>
      </c>
      <c r="G58" s="11" t="str">
        <f>"2001-11-13"</f>
        <v>2001-11-13</v>
      </c>
      <c r="H58" s="15" t="str">
        <f t="shared" si="23"/>
        <v>本科</v>
      </c>
      <c r="I58" s="15" t="str">
        <f t="shared" ref="I58:I62" si="25">"琼台师范学院"</f>
        <v>琼台师范学院</v>
      </c>
    </row>
    <row r="59" s="3" customFormat="1" ht="24" customHeight="1" spans="1:9">
      <c r="A59" s="11">
        <v>56</v>
      </c>
      <c r="B59" s="11" t="s">
        <v>60</v>
      </c>
      <c r="C59" s="15" t="s">
        <v>61</v>
      </c>
      <c r="D59" s="13" t="str">
        <f t="shared" si="24"/>
        <v>240601</v>
      </c>
      <c r="E59" s="14" t="str">
        <f>"杨清蓉"</f>
        <v>杨清蓉</v>
      </c>
      <c r="F59" s="11" t="str">
        <f t="shared" si="22"/>
        <v>女</v>
      </c>
      <c r="G59" s="11" t="str">
        <f>"2001-11-30"</f>
        <v>2001-11-30</v>
      </c>
      <c r="H59" s="15" t="str">
        <f t="shared" si="23"/>
        <v>本科</v>
      </c>
      <c r="I59" s="15" t="str">
        <f t="shared" si="25"/>
        <v>琼台师范学院</v>
      </c>
    </row>
    <row r="60" s="3" customFormat="1" ht="24" customHeight="1" spans="1:9">
      <c r="A60" s="11">
        <v>57</v>
      </c>
      <c r="B60" s="12" t="s">
        <v>60</v>
      </c>
      <c r="C60" s="13" t="s">
        <v>61</v>
      </c>
      <c r="D60" s="13" t="str">
        <f t="shared" si="24"/>
        <v>240601</v>
      </c>
      <c r="E60" s="14" t="str">
        <f>"张进珠"</f>
        <v>张进珠</v>
      </c>
      <c r="F60" s="11" t="str">
        <f t="shared" si="22"/>
        <v>女</v>
      </c>
      <c r="G60" s="11" t="str">
        <f>"2002-02-06"</f>
        <v>2002-02-06</v>
      </c>
      <c r="H60" s="15" t="str">
        <f t="shared" si="23"/>
        <v>本科</v>
      </c>
      <c r="I60" s="15" t="str">
        <f>"三亚学院"</f>
        <v>三亚学院</v>
      </c>
    </row>
    <row r="61" s="3" customFormat="1" ht="24" customHeight="1" spans="1:9">
      <c r="A61" s="11">
        <v>58</v>
      </c>
      <c r="B61" s="12" t="s">
        <v>60</v>
      </c>
      <c r="C61" s="13" t="s">
        <v>57</v>
      </c>
      <c r="D61" s="13" t="str">
        <f>"240602"</f>
        <v>240602</v>
      </c>
      <c r="E61" s="14" t="str">
        <f>"王海姑"</f>
        <v>王海姑</v>
      </c>
      <c r="F61" s="11" t="str">
        <f t="shared" si="22"/>
        <v>女</v>
      </c>
      <c r="G61" s="11" t="str">
        <f>"1998-03-29"</f>
        <v>1998-03-29</v>
      </c>
      <c r="H61" s="15" t="str">
        <f t="shared" si="23"/>
        <v>本科</v>
      </c>
      <c r="I61" s="15" t="str">
        <f t="shared" si="25"/>
        <v>琼台师范学院</v>
      </c>
    </row>
    <row r="62" s="3" customFormat="1" ht="24" customHeight="1" spans="1:9">
      <c r="A62" s="11">
        <v>59</v>
      </c>
      <c r="B62" s="12" t="s">
        <v>60</v>
      </c>
      <c r="C62" s="13" t="s">
        <v>58</v>
      </c>
      <c r="D62" s="13" t="str">
        <f>"240603"</f>
        <v>240603</v>
      </c>
      <c r="E62" s="14" t="str">
        <f>"邱奎倩"</f>
        <v>邱奎倩</v>
      </c>
      <c r="F62" s="11" t="str">
        <f t="shared" si="22"/>
        <v>女</v>
      </c>
      <c r="G62" s="11" t="str">
        <f>"2002-09-13"</f>
        <v>2002-09-13</v>
      </c>
      <c r="H62" s="15" t="str">
        <f t="shared" si="23"/>
        <v>本科</v>
      </c>
      <c r="I62" s="15" t="str">
        <f t="shared" si="25"/>
        <v>琼台师范学院</v>
      </c>
    </row>
    <row r="63" s="3" customFormat="1" ht="24" customHeight="1" spans="1:9">
      <c r="A63" s="11">
        <v>60</v>
      </c>
      <c r="B63" s="12" t="s">
        <v>60</v>
      </c>
      <c r="C63" s="13" t="s">
        <v>52</v>
      </c>
      <c r="D63" s="13" t="str">
        <f>"240604"</f>
        <v>240604</v>
      </c>
      <c r="E63" s="14" t="str">
        <f>"周逸"</f>
        <v>周逸</v>
      </c>
      <c r="F63" s="11" t="str">
        <f>"男"</f>
        <v>男</v>
      </c>
      <c r="G63" s="11" t="str">
        <f>"2001-06-20"</f>
        <v>2001-06-20</v>
      </c>
      <c r="H63" s="15" t="str">
        <f t="shared" si="23"/>
        <v>本科</v>
      </c>
      <c r="I63" s="15" t="str">
        <f t="shared" ref="I63:I67" si="26">"海南师范大学"</f>
        <v>海南师范大学</v>
      </c>
    </row>
    <row r="64" s="3" customFormat="1" ht="24" customHeight="1" spans="1:9">
      <c r="A64" s="11">
        <v>61</v>
      </c>
      <c r="B64" s="12" t="s">
        <v>60</v>
      </c>
      <c r="C64" s="13" t="s">
        <v>52</v>
      </c>
      <c r="D64" s="13" t="str">
        <f>"240604"</f>
        <v>240604</v>
      </c>
      <c r="E64" s="14" t="str">
        <f>"高富荣"</f>
        <v>高富荣</v>
      </c>
      <c r="F64" s="11" t="str">
        <f t="shared" ref="F64:F66" si="27">"女"</f>
        <v>女</v>
      </c>
      <c r="G64" s="11" t="str">
        <f>"1998-02-25"</f>
        <v>1998-02-25</v>
      </c>
      <c r="H64" s="22" t="str">
        <f t="shared" si="23"/>
        <v>本科</v>
      </c>
      <c r="I64" s="15" t="str">
        <f>"琼台师范学院"</f>
        <v>琼台师范学院</v>
      </c>
    </row>
    <row r="65" s="3" customFormat="1" ht="24" customHeight="1" spans="1:9">
      <c r="A65" s="11">
        <v>62</v>
      </c>
      <c r="B65" s="13" t="s">
        <v>60</v>
      </c>
      <c r="C65" s="13" t="s">
        <v>59</v>
      </c>
      <c r="D65" s="13" t="str">
        <f>"240605"</f>
        <v>240605</v>
      </c>
      <c r="E65" s="14" t="str">
        <f>"吴茜"</f>
        <v>吴茜</v>
      </c>
      <c r="F65" s="11" t="str">
        <f t="shared" si="27"/>
        <v>女</v>
      </c>
      <c r="G65" s="11" t="str">
        <f>"2003-05-02"</f>
        <v>2003-05-02</v>
      </c>
      <c r="H65" s="22" t="str">
        <f t="shared" si="23"/>
        <v>本科</v>
      </c>
      <c r="I65" s="15" t="str">
        <f>"吉林艺术学院"</f>
        <v>吉林艺术学院</v>
      </c>
    </row>
    <row r="66" s="3" customFormat="1" ht="24" customHeight="1" spans="1:9">
      <c r="A66" s="11">
        <v>63</v>
      </c>
      <c r="B66" s="13" t="s">
        <v>60</v>
      </c>
      <c r="C66" s="13" t="s">
        <v>62</v>
      </c>
      <c r="D66" s="13" t="str">
        <f t="shared" ref="D66:D69" si="28">"240606"</f>
        <v>240606</v>
      </c>
      <c r="E66" s="14" t="str">
        <f>"符桃英"</f>
        <v>符桃英</v>
      </c>
      <c r="F66" s="11" t="str">
        <f t="shared" si="27"/>
        <v>女</v>
      </c>
      <c r="G66" s="11" t="str">
        <f>"2000-05-10"</f>
        <v>2000-05-10</v>
      </c>
      <c r="H66" s="15" t="str">
        <f t="shared" si="23"/>
        <v>本科</v>
      </c>
      <c r="I66" s="15" t="str">
        <f t="shared" si="26"/>
        <v>海南师范大学</v>
      </c>
    </row>
    <row r="67" s="3" customFormat="1" ht="24" customHeight="1" spans="1:9">
      <c r="A67" s="11">
        <v>64</v>
      </c>
      <c r="B67" s="13" t="s">
        <v>60</v>
      </c>
      <c r="C67" s="13" t="s">
        <v>62</v>
      </c>
      <c r="D67" s="13" t="str">
        <f t="shared" si="28"/>
        <v>240606</v>
      </c>
      <c r="E67" s="14" t="str">
        <f>"陈立栋"</f>
        <v>陈立栋</v>
      </c>
      <c r="F67" s="11" t="str">
        <f>"男"</f>
        <v>男</v>
      </c>
      <c r="G67" s="11" t="str">
        <f>"2000-12-01"</f>
        <v>2000-12-01</v>
      </c>
      <c r="H67" s="15" t="str">
        <f t="shared" si="23"/>
        <v>本科</v>
      </c>
      <c r="I67" s="15" t="str">
        <f t="shared" si="26"/>
        <v>海南师范大学</v>
      </c>
    </row>
    <row r="68" s="3" customFormat="1" ht="24" customHeight="1" spans="1:9">
      <c r="A68" s="11">
        <v>65</v>
      </c>
      <c r="B68" s="13" t="s">
        <v>60</v>
      </c>
      <c r="C68" s="13" t="s">
        <v>62</v>
      </c>
      <c r="D68" s="13" t="str">
        <f t="shared" si="28"/>
        <v>240606</v>
      </c>
      <c r="E68" s="14" t="str">
        <f>"曾彦"</f>
        <v>曾彦</v>
      </c>
      <c r="F68" s="11" t="str">
        <f t="shared" ref="F68:F71" si="29">"女"</f>
        <v>女</v>
      </c>
      <c r="G68" s="11" t="str">
        <f>"2002-07-21"</f>
        <v>2002-07-21</v>
      </c>
      <c r="H68" s="15" t="str">
        <f t="shared" si="23"/>
        <v>本科</v>
      </c>
      <c r="I68" s="15" t="str">
        <f>"百色学院"</f>
        <v>百色学院</v>
      </c>
    </row>
    <row r="69" s="3" customFormat="1" ht="24" customHeight="1" spans="1:9">
      <c r="A69" s="11">
        <v>66</v>
      </c>
      <c r="B69" s="13" t="s">
        <v>60</v>
      </c>
      <c r="C69" s="13" t="s">
        <v>62</v>
      </c>
      <c r="D69" s="13" t="str">
        <f t="shared" si="28"/>
        <v>240606</v>
      </c>
      <c r="E69" s="14" t="str">
        <f>"陈玉婷"</f>
        <v>陈玉婷</v>
      </c>
      <c r="F69" s="11" t="str">
        <f t="shared" si="29"/>
        <v>女</v>
      </c>
      <c r="G69" s="11" t="str">
        <f>"2002-08-02"</f>
        <v>2002-08-02</v>
      </c>
      <c r="H69" s="15" t="str">
        <f t="shared" si="23"/>
        <v>本科</v>
      </c>
      <c r="I69" s="15" t="str">
        <f>"晋中学院"</f>
        <v>晋中学院</v>
      </c>
    </row>
    <row r="70" s="3" customFormat="1" ht="24" customHeight="1" spans="1:9">
      <c r="A70" s="11">
        <v>67</v>
      </c>
      <c r="B70" s="13" t="s">
        <v>60</v>
      </c>
      <c r="C70" s="13" t="s">
        <v>55</v>
      </c>
      <c r="D70" s="13" t="str">
        <f>"240607"</f>
        <v>240607</v>
      </c>
      <c r="E70" s="14" t="str">
        <f>"何怡"</f>
        <v>何怡</v>
      </c>
      <c r="F70" s="11" t="str">
        <f t="shared" si="29"/>
        <v>女</v>
      </c>
      <c r="G70" s="11" t="str">
        <f>"2002-04-10"</f>
        <v>2002-04-10</v>
      </c>
      <c r="H70" s="15" t="str">
        <f t="shared" si="23"/>
        <v>本科</v>
      </c>
      <c r="I70" s="15" t="str">
        <f>"浙江师范大学"</f>
        <v>浙江师范大学</v>
      </c>
    </row>
    <row r="71" s="3" customFormat="1" ht="24" customHeight="1" spans="1:9">
      <c r="A71" s="11">
        <v>68</v>
      </c>
      <c r="B71" s="13" t="s">
        <v>63</v>
      </c>
      <c r="C71" s="13" t="s">
        <v>57</v>
      </c>
      <c r="D71" s="13" t="str">
        <f>"240701"</f>
        <v>240701</v>
      </c>
      <c r="E71" s="14" t="str">
        <f>"魏晨伊"</f>
        <v>魏晨伊</v>
      </c>
      <c r="F71" s="11" t="str">
        <f t="shared" si="29"/>
        <v>女</v>
      </c>
      <c r="G71" s="11" t="str">
        <f>"2000-07-10"</f>
        <v>2000-07-10</v>
      </c>
      <c r="H71" s="15" t="str">
        <f t="shared" si="23"/>
        <v>本科</v>
      </c>
      <c r="I71" s="15" t="str">
        <f t="shared" ref="I71:I75" si="30">"琼台师范学院"</f>
        <v>琼台师范学院</v>
      </c>
    </row>
    <row r="72" s="3" customFormat="1" ht="24" customHeight="1" spans="1:9">
      <c r="A72" s="11">
        <v>69</v>
      </c>
      <c r="B72" s="13" t="s">
        <v>63</v>
      </c>
      <c r="C72" s="13" t="s">
        <v>52</v>
      </c>
      <c r="D72" s="13" t="str">
        <f>"240702"</f>
        <v>240702</v>
      </c>
      <c r="E72" s="14" t="str">
        <f>"邵世强"</f>
        <v>邵世强</v>
      </c>
      <c r="F72" s="11" t="str">
        <f t="shared" ref="F72:F77" si="31">"男"</f>
        <v>男</v>
      </c>
      <c r="G72" s="11" t="str">
        <f>"2003-07-31"</f>
        <v>2003-07-31</v>
      </c>
      <c r="H72" s="15" t="str">
        <f t="shared" si="23"/>
        <v>本科</v>
      </c>
      <c r="I72" s="15" t="str">
        <f>"海南热带海洋学院"</f>
        <v>海南热带海洋学院</v>
      </c>
    </row>
    <row r="73" s="3" customFormat="1" ht="24" customHeight="1" spans="1:9">
      <c r="A73" s="11">
        <v>70</v>
      </c>
      <c r="B73" s="13" t="s">
        <v>63</v>
      </c>
      <c r="C73" s="13" t="s">
        <v>55</v>
      </c>
      <c r="D73" s="13" t="str">
        <f>"240703"</f>
        <v>240703</v>
      </c>
      <c r="E73" s="14" t="str">
        <f>"黄倩"</f>
        <v>黄倩</v>
      </c>
      <c r="F73" s="11" t="str">
        <f t="shared" ref="F73:F75" si="32">"女"</f>
        <v>女</v>
      </c>
      <c r="G73" s="11" t="str">
        <f>"2001-12-16"</f>
        <v>2001-12-16</v>
      </c>
      <c r="H73" s="15" t="str">
        <f t="shared" si="23"/>
        <v>本科</v>
      </c>
      <c r="I73" s="15" t="str">
        <f t="shared" si="30"/>
        <v>琼台师范学院</v>
      </c>
    </row>
    <row r="74" s="3" customFormat="1" ht="24" customHeight="1" spans="1:9">
      <c r="A74" s="11">
        <v>71</v>
      </c>
      <c r="B74" s="13" t="s">
        <v>64</v>
      </c>
      <c r="C74" s="13" t="s">
        <v>61</v>
      </c>
      <c r="D74" s="13" t="str">
        <f>"240801"</f>
        <v>240801</v>
      </c>
      <c r="E74" s="14" t="str">
        <f>"王忆婷"</f>
        <v>王忆婷</v>
      </c>
      <c r="F74" s="11" t="str">
        <f t="shared" si="32"/>
        <v>女</v>
      </c>
      <c r="G74" s="11" t="str">
        <f>"2001-02-02"</f>
        <v>2001-02-02</v>
      </c>
      <c r="H74" s="15" t="str">
        <f t="shared" si="23"/>
        <v>本科</v>
      </c>
      <c r="I74" s="15" t="str">
        <f t="shared" si="30"/>
        <v>琼台师范学院</v>
      </c>
    </row>
    <row r="75" s="3" customFormat="1" ht="24" customHeight="1" spans="1:9">
      <c r="A75" s="11">
        <v>72</v>
      </c>
      <c r="B75" s="13" t="s">
        <v>64</v>
      </c>
      <c r="C75" s="13" t="s">
        <v>57</v>
      </c>
      <c r="D75" s="13" t="str">
        <f>"240802"</f>
        <v>240802</v>
      </c>
      <c r="E75" s="14" t="str">
        <f>"彭丽"</f>
        <v>彭丽</v>
      </c>
      <c r="F75" s="11" t="str">
        <f t="shared" si="32"/>
        <v>女</v>
      </c>
      <c r="G75" s="11" t="str">
        <f>"2001-02-25"</f>
        <v>2001-02-25</v>
      </c>
      <c r="H75" s="15" t="str">
        <f t="shared" si="23"/>
        <v>本科</v>
      </c>
      <c r="I75" s="15" t="str">
        <f t="shared" si="30"/>
        <v>琼台师范学院</v>
      </c>
    </row>
    <row r="76" s="3" customFormat="1" ht="24" customHeight="1" spans="1:9">
      <c r="A76" s="11">
        <v>73</v>
      </c>
      <c r="B76" s="13" t="s">
        <v>64</v>
      </c>
      <c r="C76" s="13" t="s">
        <v>52</v>
      </c>
      <c r="D76" s="13" t="str">
        <f>"240803"</f>
        <v>240803</v>
      </c>
      <c r="E76" s="14" t="str">
        <f>"李涛"</f>
        <v>李涛</v>
      </c>
      <c r="F76" s="11" t="str">
        <f t="shared" si="31"/>
        <v>男</v>
      </c>
      <c r="G76" s="11" t="str">
        <f>"2002-06-03"</f>
        <v>2002-06-03</v>
      </c>
      <c r="H76" s="15" t="str">
        <f t="shared" si="23"/>
        <v>本科</v>
      </c>
      <c r="I76" s="15" t="str">
        <f>"海南热带海洋学院"</f>
        <v>海南热带海洋学院</v>
      </c>
    </row>
    <row r="77" s="3" customFormat="1" ht="24" customHeight="1" spans="1:9">
      <c r="A77" s="11">
        <v>74</v>
      </c>
      <c r="B77" s="13" t="s">
        <v>64</v>
      </c>
      <c r="C77" s="13" t="s">
        <v>62</v>
      </c>
      <c r="D77" s="13" t="str">
        <f>"240804"</f>
        <v>240804</v>
      </c>
      <c r="E77" s="14" t="str">
        <f>"薛发仁"</f>
        <v>薛发仁</v>
      </c>
      <c r="F77" s="11" t="str">
        <f t="shared" si="31"/>
        <v>男</v>
      </c>
      <c r="G77" s="11" t="str">
        <f>"2002-01-29"</f>
        <v>2002-01-29</v>
      </c>
      <c r="H77" s="15" t="str">
        <f t="shared" si="23"/>
        <v>本科</v>
      </c>
      <c r="I77" s="15" t="str">
        <f>"湖南师范大学"</f>
        <v>湖南师范大学</v>
      </c>
    </row>
    <row r="78" s="3" customFormat="1" ht="24" customHeight="1" spans="1:9">
      <c r="A78" s="11">
        <v>75</v>
      </c>
      <c r="B78" s="13" t="s">
        <v>64</v>
      </c>
      <c r="C78" s="13" t="s">
        <v>62</v>
      </c>
      <c r="D78" s="13" t="str">
        <f>"240804"</f>
        <v>240804</v>
      </c>
      <c r="E78" s="14" t="str">
        <f>"黄丽婷"</f>
        <v>黄丽婷</v>
      </c>
      <c r="F78" s="11" t="str">
        <f t="shared" ref="F78:F82" si="33">"女"</f>
        <v>女</v>
      </c>
      <c r="G78" s="11" t="str">
        <f>"2003-04-13"</f>
        <v>2003-04-13</v>
      </c>
      <c r="H78" s="15" t="str">
        <f t="shared" si="23"/>
        <v>本科</v>
      </c>
      <c r="I78" s="15" t="str">
        <f>"重庆人文科技学院"</f>
        <v>重庆人文科技学院</v>
      </c>
    </row>
    <row r="79" s="3" customFormat="1" ht="24" customHeight="1" spans="1:9">
      <c r="A79" s="11">
        <v>76</v>
      </c>
      <c r="B79" s="13" t="s">
        <v>65</v>
      </c>
      <c r="C79" s="13" t="s">
        <v>61</v>
      </c>
      <c r="D79" s="13" t="str">
        <f>"240901"</f>
        <v>240901</v>
      </c>
      <c r="E79" s="14" t="str">
        <f>"杨金鹭"</f>
        <v>杨金鹭</v>
      </c>
      <c r="F79" s="11" t="str">
        <f t="shared" si="33"/>
        <v>女</v>
      </c>
      <c r="G79" s="11" t="str">
        <f>"2002-05-26"</f>
        <v>2002-05-26</v>
      </c>
      <c r="H79" s="15" t="str">
        <f t="shared" si="23"/>
        <v>本科</v>
      </c>
      <c r="I79" s="15" t="str">
        <f t="shared" ref="I79:I83" si="34">"琼台师范学院"</f>
        <v>琼台师范学院</v>
      </c>
    </row>
    <row r="80" s="3" customFormat="1" ht="24" customHeight="1" spans="1:9">
      <c r="A80" s="11">
        <v>77</v>
      </c>
      <c r="B80" s="13" t="s">
        <v>65</v>
      </c>
      <c r="C80" s="13" t="s">
        <v>61</v>
      </c>
      <c r="D80" s="13" t="str">
        <f>"240901"</f>
        <v>240901</v>
      </c>
      <c r="E80" s="14" t="str">
        <f>"岑晓"</f>
        <v>岑晓</v>
      </c>
      <c r="F80" s="11" t="str">
        <f t="shared" si="33"/>
        <v>女</v>
      </c>
      <c r="G80" s="11" t="str">
        <f>"2001-12-28"</f>
        <v>2001-12-28</v>
      </c>
      <c r="H80" s="15" t="str">
        <f t="shared" si="23"/>
        <v>本科</v>
      </c>
      <c r="I80" s="15" t="str">
        <f t="shared" si="34"/>
        <v>琼台师范学院</v>
      </c>
    </row>
    <row r="81" s="3" customFormat="1" ht="24" customHeight="1" spans="1:9">
      <c r="A81" s="11">
        <v>78</v>
      </c>
      <c r="B81" s="12" t="s">
        <v>66</v>
      </c>
      <c r="C81" s="13" t="s">
        <v>62</v>
      </c>
      <c r="D81" s="13" t="str">
        <f>"241001"</f>
        <v>241001</v>
      </c>
      <c r="E81" s="14" t="str">
        <f>"邢妮雅"</f>
        <v>邢妮雅</v>
      </c>
      <c r="F81" s="11" t="str">
        <f t="shared" si="33"/>
        <v>女</v>
      </c>
      <c r="G81" s="11" t="str">
        <f>"2002-07-08"</f>
        <v>2002-07-08</v>
      </c>
      <c r="H81" s="15" t="str">
        <f t="shared" si="23"/>
        <v>本科</v>
      </c>
      <c r="I81" s="15" t="str">
        <f>"西南科技大学"</f>
        <v>西南科技大学</v>
      </c>
    </row>
    <row r="82" s="3" customFormat="1" ht="24" customHeight="1" spans="1:9">
      <c r="A82" s="11">
        <v>79</v>
      </c>
      <c r="B82" s="13" t="s">
        <v>66</v>
      </c>
      <c r="C82" s="13" t="s">
        <v>67</v>
      </c>
      <c r="D82" s="13" t="str">
        <f>"241002"</f>
        <v>241002</v>
      </c>
      <c r="E82" s="14" t="str">
        <f>"李香冰"</f>
        <v>李香冰</v>
      </c>
      <c r="F82" s="11" t="str">
        <f t="shared" si="33"/>
        <v>女</v>
      </c>
      <c r="G82" s="11" t="str">
        <f>"2002-01-04"</f>
        <v>2002-01-04</v>
      </c>
      <c r="H82" s="15" t="str">
        <f t="shared" si="23"/>
        <v>本科</v>
      </c>
      <c r="I82" s="15" t="str">
        <f t="shared" si="34"/>
        <v>琼台师范学院</v>
      </c>
    </row>
    <row r="83" s="3" customFormat="1" ht="24" customHeight="1" spans="1:9">
      <c r="A83" s="11">
        <v>80</v>
      </c>
      <c r="B83" s="13" t="s">
        <v>68</v>
      </c>
      <c r="C83" s="13" t="s">
        <v>52</v>
      </c>
      <c r="D83" s="13" t="str">
        <f>"241101"</f>
        <v>241101</v>
      </c>
      <c r="E83" s="14" t="str">
        <f>"钟承纯"</f>
        <v>钟承纯</v>
      </c>
      <c r="F83" s="11" t="str">
        <f>"男"</f>
        <v>男</v>
      </c>
      <c r="G83" s="11" t="str">
        <f>"2001-02-10"</f>
        <v>2001-02-10</v>
      </c>
      <c r="H83" s="15" t="str">
        <f t="shared" si="23"/>
        <v>本科</v>
      </c>
      <c r="I83" s="15" t="str">
        <f t="shared" si="34"/>
        <v>琼台师范学院</v>
      </c>
    </row>
    <row r="84" s="3" customFormat="1" ht="24" customHeight="1" spans="1:9">
      <c r="A84" s="11">
        <v>81</v>
      </c>
      <c r="B84" s="13" t="s">
        <v>68</v>
      </c>
      <c r="C84" s="13" t="s">
        <v>69</v>
      </c>
      <c r="D84" s="13" t="str">
        <f>"241103"</f>
        <v>241103</v>
      </c>
      <c r="E84" s="14" t="str">
        <f>"许妍桃"</f>
        <v>许妍桃</v>
      </c>
      <c r="F84" s="11" t="str">
        <f t="shared" ref="F84:F88" si="35">"女"</f>
        <v>女</v>
      </c>
      <c r="G84" s="11" t="str">
        <f>"1996-02-08"</f>
        <v>1996-02-08</v>
      </c>
      <c r="H84" s="15" t="str">
        <f>"研究生"</f>
        <v>研究生</v>
      </c>
      <c r="I84" s="15" t="str">
        <f>"海南师范大学"</f>
        <v>海南师范大学</v>
      </c>
    </row>
    <row r="85" s="3" customFormat="1" ht="24" customHeight="1" spans="1:9">
      <c r="A85" s="11">
        <v>82</v>
      </c>
      <c r="B85" s="13" t="s">
        <v>68</v>
      </c>
      <c r="C85" s="13" t="s">
        <v>55</v>
      </c>
      <c r="D85" s="13" t="str">
        <f>"241104"</f>
        <v>241104</v>
      </c>
      <c r="E85" s="14" t="str">
        <f>"纪顺师"</f>
        <v>纪顺师</v>
      </c>
      <c r="F85" s="11" t="str">
        <f t="shared" si="35"/>
        <v>女</v>
      </c>
      <c r="G85" s="11" t="str">
        <f>"2000-05-16"</f>
        <v>2000-05-16</v>
      </c>
      <c r="H85" s="15" t="str">
        <f t="shared" ref="H85:H88" si="36">"本科"</f>
        <v>本科</v>
      </c>
      <c r="I85" s="15" t="str">
        <f>"琼台师范学院"</f>
        <v>琼台师范学院</v>
      </c>
    </row>
    <row r="86" s="3" customFormat="1" ht="24" customHeight="1" spans="1:9">
      <c r="A86" s="11">
        <v>83</v>
      </c>
      <c r="B86" s="13" t="s">
        <v>70</v>
      </c>
      <c r="C86" s="13" t="s">
        <v>61</v>
      </c>
      <c r="D86" s="13" t="str">
        <f>"241201"</f>
        <v>241201</v>
      </c>
      <c r="E86" s="14" t="str">
        <f>"陈莹莹"</f>
        <v>陈莹莹</v>
      </c>
      <c r="F86" s="11" t="str">
        <f t="shared" si="35"/>
        <v>女</v>
      </c>
      <c r="G86" s="11" t="str">
        <f>"2001-11-07"</f>
        <v>2001-11-07</v>
      </c>
      <c r="H86" s="15" t="str">
        <f t="shared" si="36"/>
        <v>本科</v>
      </c>
      <c r="I86" s="15" t="str">
        <f>"三亚学院"</f>
        <v>三亚学院</v>
      </c>
    </row>
    <row r="87" s="3" customFormat="1" ht="24" customHeight="1" spans="1:9">
      <c r="A87" s="11">
        <v>84</v>
      </c>
      <c r="B87" s="13" t="s">
        <v>70</v>
      </c>
      <c r="C87" s="13" t="s">
        <v>58</v>
      </c>
      <c r="D87" s="13" t="str">
        <f>"241202"</f>
        <v>241202</v>
      </c>
      <c r="E87" s="14" t="str">
        <f>"陈雨馨"</f>
        <v>陈雨馨</v>
      </c>
      <c r="F87" s="11" t="str">
        <f t="shared" si="35"/>
        <v>女</v>
      </c>
      <c r="G87" s="11" t="str">
        <f>"2002-08-28"</f>
        <v>2002-08-28</v>
      </c>
      <c r="H87" s="15" t="str">
        <f t="shared" si="36"/>
        <v>本科</v>
      </c>
      <c r="I87" s="15" t="str">
        <f>"琼台师范学院"</f>
        <v>琼台师范学院</v>
      </c>
    </row>
    <row r="88" s="3" customFormat="1" ht="24" customHeight="1" spans="1:9">
      <c r="A88" s="11">
        <v>85</v>
      </c>
      <c r="B88" s="13" t="s">
        <v>70</v>
      </c>
      <c r="C88" s="13" t="s">
        <v>62</v>
      </c>
      <c r="D88" s="13" t="str">
        <f>"241203"</f>
        <v>241203</v>
      </c>
      <c r="E88" s="14" t="str">
        <f>"冼小蕾"</f>
        <v>冼小蕾</v>
      </c>
      <c r="F88" s="11" t="str">
        <f t="shared" si="35"/>
        <v>女</v>
      </c>
      <c r="G88" s="11" t="str">
        <f>"2000-02-14"</f>
        <v>2000-02-14</v>
      </c>
      <c r="H88" s="15" t="str">
        <f t="shared" si="36"/>
        <v>本科</v>
      </c>
      <c r="I88" s="15" t="str">
        <f t="shared" ref="I88:I92" si="37">"海南师范大学"</f>
        <v>海南师范大学</v>
      </c>
    </row>
    <row r="89" s="3" customFormat="1" ht="24" customHeight="1" spans="1:9">
      <c r="A89" s="11">
        <v>86</v>
      </c>
      <c r="B89" s="13" t="s">
        <v>70</v>
      </c>
      <c r="C89" s="13" t="s">
        <v>67</v>
      </c>
      <c r="D89" s="13" t="str">
        <f>"241204"</f>
        <v>241204</v>
      </c>
      <c r="E89" s="14" t="str">
        <f>"张君虞"</f>
        <v>张君虞</v>
      </c>
      <c r="F89" s="11" t="str">
        <f t="shared" ref="F89:F94" si="38">"男"</f>
        <v>男</v>
      </c>
      <c r="G89" s="11" t="str">
        <f>"1998-10-05"</f>
        <v>1998-10-05</v>
      </c>
      <c r="H89" s="15" t="str">
        <f>"研究生"</f>
        <v>研究生</v>
      </c>
      <c r="I89" s="15" t="str">
        <f>"湖南师范大学"</f>
        <v>湖南师范大学</v>
      </c>
    </row>
    <row r="90" s="3" customFormat="1" ht="24" customHeight="1" spans="1:9">
      <c r="A90" s="11">
        <v>87</v>
      </c>
      <c r="B90" s="13" t="s">
        <v>71</v>
      </c>
      <c r="C90" s="13" t="s">
        <v>67</v>
      </c>
      <c r="D90" s="13" t="str">
        <f>"241403"</f>
        <v>241403</v>
      </c>
      <c r="E90" s="14" t="str">
        <f>"黄青平"</f>
        <v>黄青平</v>
      </c>
      <c r="F90" s="11" t="str">
        <f t="shared" si="38"/>
        <v>男</v>
      </c>
      <c r="G90" s="11" t="str">
        <f>"2002-04-27"</f>
        <v>2002-04-27</v>
      </c>
      <c r="H90" s="15" t="str">
        <f t="shared" ref="H90:H101" si="39">"本科"</f>
        <v>本科</v>
      </c>
      <c r="I90" s="15" t="str">
        <f t="shared" si="37"/>
        <v>海南师范大学</v>
      </c>
    </row>
    <row r="91" s="3" customFormat="1" ht="24" customHeight="1" spans="1:9">
      <c r="A91" s="11">
        <v>88</v>
      </c>
      <c r="B91" s="13" t="s">
        <v>71</v>
      </c>
      <c r="C91" s="13" t="s">
        <v>55</v>
      </c>
      <c r="D91" s="13" t="str">
        <f>"241404"</f>
        <v>241404</v>
      </c>
      <c r="E91" s="14" t="str">
        <f>"袁艺"</f>
        <v>袁艺</v>
      </c>
      <c r="F91" s="11" t="str">
        <f t="shared" ref="F91:F93" si="40">"女"</f>
        <v>女</v>
      </c>
      <c r="G91" s="11" t="str">
        <f>"2003-02-20"</f>
        <v>2003-02-20</v>
      </c>
      <c r="H91" s="15" t="str">
        <f t="shared" si="39"/>
        <v>本科</v>
      </c>
      <c r="I91" s="15" t="str">
        <f t="shared" ref="I91:I98" si="41">"琼台师范学院"</f>
        <v>琼台师范学院</v>
      </c>
    </row>
    <row r="92" s="3" customFormat="1" ht="24" customHeight="1" spans="1:9">
      <c r="A92" s="11">
        <v>89</v>
      </c>
      <c r="B92" s="13" t="s">
        <v>72</v>
      </c>
      <c r="C92" s="13" t="s">
        <v>57</v>
      </c>
      <c r="D92" s="13" t="str">
        <f>"241501"</f>
        <v>241501</v>
      </c>
      <c r="E92" s="14" t="str">
        <f>"陈翠婕"</f>
        <v>陈翠婕</v>
      </c>
      <c r="F92" s="11" t="str">
        <f t="shared" si="40"/>
        <v>女</v>
      </c>
      <c r="G92" s="11" t="str">
        <f>"2002-07-17"</f>
        <v>2002-07-17</v>
      </c>
      <c r="H92" s="15" t="str">
        <f t="shared" si="39"/>
        <v>本科</v>
      </c>
      <c r="I92" s="15" t="str">
        <f t="shared" si="37"/>
        <v>海南师范大学</v>
      </c>
    </row>
    <row r="93" s="3" customFormat="1" ht="24" customHeight="1" spans="1:9">
      <c r="A93" s="11">
        <v>90</v>
      </c>
      <c r="B93" s="13" t="s">
        <v>72</v>
      </c>
      <c r="C93" s="13" t="s">
        <v>62</v>
      </c>
      <c r="D93" s="13" t="str">
        <f>"241502"</f>
        <v>241502</v>
      </c>
      <c r="E93" s="14" t="str">
        <f>"李慧慧"</f>
        <v>李慧慧</v>
      </c>
      <c r="F93" s="11" t="str">
        <f t="shared" si="40"/>
        <v>女</v>
      </c>
      <c r="G93" s="11" t="str">
        <f>"2002-01-27"</f>
        <v>2002-01-27</v>
      </c>
      <c r="H93" s="15" t="str">
        <f t="shared" si="39"/>
        <v>本科</v>
      </c>
      <c r="I93" s="15" t="str">
        <f>"百色学院"</f>
        <v>百色学院</v>
      </c>
    </row>
    <row r="94" s="3" customFormat="1" ht="24" customHeight="1" spans="1:9">
      <c r="A94" s="11">
        <v>91</v>
      </c>
      <c r="B94" s="13" t="s">
        <v>72</v>
      </c>
      <c r="C94" s="13" t="s">
        <v>55</v>
      </c>
      <c r="D94" s="13" t="str">
        <f>"241503"</f>
        <v>241503</v>
      </c>
      <c r="E94" s="14" t="str">
        <f>"李伟"</f>
        <v>李伟</v>
      </c>
      <c r="F94" s="11" t="str">
        <f t="shared" si="38"/>
        <v>男</v>
      </c>
      <c r="G94" s="11" t="str">
        <f>"2001-05-11"</f>
        <v>2001-05-11</v>
      </c>
      <c r="H94" s="15" t="str">
        <f t="shared" si="39"/>
        <v>本科</v>
      </c>
      <c r="I94" s="15" t="str">
        <f t="shared" si="41"/>
        <v>琼台师范学院</v>
      </c>
    </row>
    <row r="95" s="3" customFormat="1" ht="24" customHeight="1" spans="1:9">
      <c r="A95" s="11">
        <v>92</v>
      </c>
      <c r="B95" s="13" t="s">
        <v>73</v>
      </c>
      <c r="C95" s="13" t="s">
        <v>55</v>
      </c>
      <c r="D95" s="13" t="str">
        <f>"241602"</f>
        <v>241602</v>
      </c>
      <c r="E95" s="14" t="str">
        <f>"邓子红"</f>
        <v>邓子红</v>
      </c>
      <c r="F95" s="11" t="str">
        <f t="shared" ref="F95:F104" si="42">"女"</f>
        <v>女</v>
      </c>
      <c r="G95" s="11" t="str">
        <f>"1999-08-23"</f>
        <v>1999-08-23</v>
      </c>
      <c r="H95" s="15" t="str">
        <f t="shared" si="39"/>
        <v>本科</v>
      </c>
      <c r="I95" s="15" t="str">
        <f t="shared" si="41"/>
        <v>琼台师范学院</v>
      </c>
    </row>
    <row r="96" s="3" customFormat="1" ht="24" customHeight="1" spans="1:9">
      <c r="A96" s="11">
        <v>93</v>
      </c>
      <c r="B96" s="13" t="s">
        <v>74</v>
      </c>
      <c r="C96" s="13" t="s">
        <v>57</v>
      </c>
      <c r="D96" s="13" t="str">
        <f>"241701"</f>
        <v>241701</v>
      </c>
      <c r="E96" s="14" t="str">
        <f>"张洪铭"</f>
        <v>张洪铭</v>
      </c>
      <c r="F96" s="11" t="str">
        <f>"男"</f>
        <v>男</v>
      </c>
      <c r="G96" s="11" t="str">
        <f>"2002-04-17"</f>
        <v>2002-04-17</v>
      </c>
      <c r="H96" s="15" t="str">
        <f t="shared" si="39"/>
        <v>本科</v>
      </c>
      <c r="I96" s="15" t="str">
        <f t="shared" si="41"/>
        <v>琼台师范学院</v>
      </c>
    </row>
    <row r="97" s="3" customFormat="1" ht="24" customHeight="1" spans="1:9">
      <c r="A97" s="11">
        <v>94</v>
      </c>
      <c r="B97" s="13" t="s">
        <v>74</v>
      </c>
      <c r="C97" s="13" t="s">
        <v>54</v>
      </c>
      <c r="D97" s="13" t="str">
        <f>"241702"</f>
        <v>241702</v>
      </c>
      <c r="E97" s="14" t="str">
        <f>"周柔雪"</f>
        <v>周柔雪</v>
      </c>
      <c r="F97" s="11" t="str">
        <f t="shared" si="42"/>
        <v>女</v>
      </c>
      <c r="G97" s="11" t="str">
        <f>"2000-11-25"</f>
        <v>2000-11-25</v>
      </c>
      <c r="H97" s="15" t="str">
        <f t="shared" si="39"/>
        <v>本科</v>
      </c>
      <c r="I97" s="15" t="str">
        <f t="shared" si="41"/>
        <v>琼台师范学院</v>
      </c>
    </row>
    <row r="98" s="3" customFormat="1" ht="24" customHeight="1" spans="1:9">
      <c r="A98" s="11">
        <v>95</v>
      </c>
      <c r="B98" s="13" t="s">
        <v>75</v>
      </c>
      <c r="C98" s="13" t="s">
        <v>61</v>
      </c>
      <c r="D98" s="13" t="str">
        <f t="shared" ref="D98:D100" si="43">"241801"</f>
        <v>241801</v>
      </c>
      <c r="E98" s="14" t="str">
        <f>"戴磊"</f>
        <v>戴磊</v>
      </c>
      <c r="F98" s="11" t="str">
        <f>"男"</f>
        <v>男</v>
      </c>
      <c r="G98" s="11" t="str">
        <f>"2000-07-15"</f>
        <v>2000-07-15</v>
      </c>
      <c r="H98" s="15" t="str">
        <f t="shared" si="39"/>
        <v>本科</v>
      </c>
      <c r="I98" s="15" t="str">
        <f t="shared" si="41"/>
        <v>琼台师范学院</v>
      </c>
    </row>
    <row r="99" s="3" customFormat="1" ht="24" customHeight="1" spans="1:9">
      <c r="A99" s="11">
        <v>96</v>
      </c>
      <c r="B99" s="13" t="s">
        <v>75</v>
      </c>
      <c r="C99" s="13" t="s">
        <v>61</v>
      </c>
      <c r="D99" s="13" t="str">
        <f t="shared" si="43"/>
        <v>241801</v>
      </c>
      <c r="E99" s="14" t="str">
        <f>"杨美凤"</f>
        <v>杨美凤</v>
      </c>
      <c r="F99" s="11" t="str">
        <f t="shared" si="42"/>
        <v>女</v>
      </c>
      <c r="G99" s="11" t="str">
        <f>"2002-06-01"</f>
        <v>2002-06-01</v>
      </c>
      <c r="H99" s="15" t="str">
        <f t="shared" si="39"/>
        <v>本科</v>
      </c>
      <c r="I99" s="15" t="str">
        <f>"衡阳师范学院南岳学院"</f>
        <v>衡阳师范学院南岳学院</v>
      </c>
    </row>
    <row r="100" s="3" customFormat="1" ht="24" customHeight="1" spans="1:9">
      <c r="A100" s="11">
        <v>97</v>
      </c>
      <c r="B100" s="13" t="s">
        <v>75</v>
      </c>
      <c r="C100" s="13" t="s">
        <v>61</v>
      </c>
      <c r="D100" s="13" t="str">
        <f t="shared" si="43"/>
        <v>241801</v>
      </c>
      <c r="E100" s="14" t="str">
        <f>"蔡秋荻"</f>
        <v>蔡秋荻</v>
      </c>
      <c r="F100" s="11" t="str">
        <f t="shared" si="42"/>
        <v>女</v>
      </c>
      <c r="G100" s="11" t="str">
        <f>"2001-08-11"</f>
        <v>2001-08-11</v>
      </c>
      <c r="H100" s="15" t="str">
        <f t="shared" si="39"/>
        <v>本科</v>
      </c>
      <c r="I100" s="15" t="str">
        <f t="shared" ref="I100:I104" si="44">"琼台师范学院"</f>
        <v>琼台师范学院</v>
      </c>
    </row>
    <row r="101" s="3" customFormat="1" ht="24" customHeight="1" spans="1:9">
      <c r="A101" s="11">
        <v>98</v>
      </c>
      <c r="B101" s="13" t="s">
        <v>75</v>
      </c>
      <c r="C101" s="13" t="s">
        <v>57</v>
      </c>
      <c r="D101" s="13" t="str">
        <f>"241802"</f>
        <v>241802</v>
      </c>
      <c r="E101" s="14" t="str">
        <f>"曾明月"</f>
        <v>曾明月</v>
      </c>
      <c r="F101" s="11" t="str">
        <f t="shared" si="42"/>
        <v>女</v>
      </c>
      <c r="G101" s="11" t="str">
        <f>"2001-05-06"</f>
        <v>2001-05-06</v>
      </c>
      <c r="H101" s="15" t="str">
        <f t="shared" si="39"/>
        <v>本科</v>
      </c>
      <c r="I101" s="15" t="str">
        <f t="shared" si="44"/>
        <v>琼台师范学院</v>
      </c>
    </row>
    <row r="102" s="3" customFormat="1" ht="24" customHeight="1" spans="1:9">
      <c r="A102" s="11">
        <v>99</v>
      </c>
      <c r="B102" s="13" t="s">
        <v>75</v>
      </c>
      <c r="C102" s="13" t="s">
        <v>54</v>
      </c>
      <c r="D102" s="13" t="str">
        <f>"241803"</f>
        <v>241803</v>
      </c>
      <c r="E102" s="14" t="str">
        <f>"卫光翠"</f>
        <v>卫光翠</v>
      </c>
      <c r="F102" s="11" t="str">
        <f t="shared" si="42"/>
        <v>女</v>
      </c>
      <c r="G102" s="11" t="str">
        <f>"1993-05-30"</f>
        <v>1993-05-30</v>
      </c>
      <c r="H102" s="15" t="str">
        <f>"研究生"</f>
        <v>研究生</v>
      </c>
      <c r="I102" s="15" t="str">
        <f>"海南师范大学"</f>
        <v>海南师范大学</v>
      </c>
    </row>
    <row r="103" s="3" customFormat="1" ht="24" customHeight="1" spans="1:9">
      <c r="A103" s="11">
        <v>100</v>
      </c>
      <c r="B103" s="13" t="s">
        <v>76</v>
      </c>
      <c r="C103" s="13" t="s">
        <v>57</v>
      </c>
      <c r="D103" s="13" t="str">
        <f>"241902"</f>
        <v>241902</v>
      </c>
      <c r="E103" s="14" t="str">
        <f>"苏小柳"</f>
        <v>苏小柳</v>
      </c>
      <c r="F103" s="11" t="str">
        <f t="shared" si="42"/>
        <v>女</v>
      </c>
      <c r="G103" s="11" t="str">
        <f>"1999-07-21"</f>
        <v>1999-07-21</v>
      </c>
      <c r="H103" s="15" t="str">
        <f>"本科"</f>
        <v>本科</v>
      </c>
      <c r="I103" s="15" t="str">
        <f t="shared" si="44"/>
        <v>琼台师范学院</v>
      </c>
    </row>
    <row r="104" s="3" customFormat="1" ht="24" customHeight="1" spans="1:9">
      <c r="A104" s="11">
        <v>101</v>
      </c>
      <c r="B104" s="13" t="s">
        <v>77</v>
      </c>
      <c r="C104" s="13" t="s">
        <v>52</v>
      </c>
      <c r="D104" s="13" t="str">
        <f>"242001"</f>
        <v>242001</v>
      </c>
      <c r="E104" s="14" t="str">
        <f>"李立作"</f>
        <v>李立作</v>
      </c>
      <c r="F104" s="11" t="str">
        <f t="shared" si="42"/>
        <v>女</v>
      </c>
      <c r="G104" s="11" t="str">
        <f>"2002-04-18"</f>
        <v>2002-04-18</v>
      </c>
      <c r="H104" s="15" t="str">
        <f>"本科"</f>
        <v>本科</v>
      </c>
      <c r="I104" s="15" t="str">
        <f t="shared" si="44"/>
        <v>琼台师范学院</v>
      </c>
    </row>
    <row r="105" s="3" customFormat="1" ht="24" customHeight="1" spans="1:9">
      <c r="A105" s="11">
        <v>102</v>
      </c>
      <c r="B105" s="12" t="s">
        <v>64</v>
      </c>
      <c r="C105" s="11" t="s">
        <v>55</v>
      </c>
      <c r="D105" s="15">
        <v>240805</v>
      </c>
      <c r="E105" s="14" t="s">
        <v>78</v>
      </c>
      <c r="F105" s="11" t="s">
        <v>30</v>
      </c>
      <c r="G105" s="16" t="s">
        <v>79</v>
      </c>
      <c r="H105" s="15" t="s">
        <v>24</v>
      </c>
      <c r="I105" s="15" t="s">
        <v>80</v>
      </c>
    </row>
    <row r="106" s="3" customFormat="1" ht="24" customHeight="1" spans="1:9">
      <c r="A106" s="11">
        <v>103</v>
      </c>
      <c r="B106" s="12" t="s">
        <v>64</v>
      </c>
      <c r="C106" s="11" t="s">
        <v>61</v>
      </c>
      <c r="D106" s="15">
        <v>240801</v>
      </c>
      <c r="E106" s="14" t="s">
        <v>81</v>
      </c>
      <c r="F106" s="17" t="s">
        <v>30</v>
      </c>
      <c r="G106" s="16" t="s">
        <v>82</v>
      </c>
      <c r="H106" s="15" t="s">
        <v>24</v>
      </c>
      <c r="I106" s="15" t="s">
        <v>25</v>
      </c>
    </row>
  </sheetData>
  <mergeCells count="2">
    <mergeCell ref="A1:B1"/>
    <mergeCell ref="A2:I2"/>
  </mergeCells>
  <pageMargins left="0.502777777777778" right="0.502777777777778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Lammy L</cp:lastModifiedBy>
  <dcterms:created xsi:type="dcterms:W3CDTF">2024-10-21T12:19:00Z</dcterms:created>
  <dcterms:modified xsi:type="dcterms:W3CDTF">2024-10-24T09:44:28Z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723C3EBA9A584067B0E69D444CDEC100_12</vt:lpwstr>
  </property>
</Properties>
</file>